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iel\Downloads\FIXTURE 2026 CON RESULTADOS ACTUALIZADOS\"/>
    </mc:Choice>
  </mc:AlternateContent>
  <xr:revisionPtr revIDLastSave="0" documentId="13_ncr:1_{DB132924-83C8-4C17-9653-CEFB6EAFA163}" xr6:coauthVersionLast="47" xr6:coauthVersionMax="47" xr10:uidLastSave="{00000000-0000-0000-0000-000000000000}"/>
  <bookViews>
    <workbookView xWindow="-120" yWindow="-120" windowWidth="20730" windowHeight="11160" xr2:uid="{12D3C602-5F84-4D76-A2AE-BAC259C9595F}"/>
  </bookViews>
  <sheets>
    <sheet name="Portada" sheetId="40" r:id="rId1"/>
    <sheet name="Ingreso" sheetId="53" r:id="rId2"/>
    <sheet name="A" sheetId="22" r:id="rId3"/>
    <sheet name="B" sheetId="42" r:id="rId4"/>
    <sheet name="C" sheetId="43" r:id="rId5"/>
    <sheet name="D" sheetId="44" r:id="rId6"/>
    <sheet name="E" sheetId="45" r:id="rId7"/>
    <sheet name="F" sheetId="46" r:id="rId8"/>
    <sheet name="G" sheetId="47" r:id="rId9"/>
    <sheet name="H" sheetId="48" r:id="rId10"/>
    <sheet name="I" sheetId="49" r:id="rId11"/>
    <sheet name="J" sheetId="50" r:id="rId12"/>
    <sheet name="K" sheetId="51" r:id="rId13"/>
    <sheet name="L" sheetId="52" r:id="rId14"/>
    <sheet name="Dieciseisavos" sheetId="17" r:id="rId15"/>
    <sheet name="Octavos" sheetId="54" r:id="rId16"/>
    <sheet name="Cuartos" sheetId="18" r:id="rId17"/>
    <sheet name="Semifinales" sheetId="19" r:id="rId18"/>
    <sheet name="FINAL" sheetId="34" r:id="rId19"/>
    <sheet name="Extra" sheetId="37" r:id="rId20"/>
    <sheet name="UTC" sheetId="39" r:id="rId21"/>
    <sheet name="Copyright" sheetId="33" r:id="rId22"/>
    <sheet name="Recursos" sheetId="35" r:id="rId23"/>
  </sheets>
  <definedNames>
    <definedName name="ALEMANIA">Recursos!$B$1</definedName>
    <definedName name="ARABIA_SAUDITA">Recursos!$B$2</definedName>
    <definedName name="ARGELIA">Recursos!$B$3</definedName>
    <definedName name="ARGENTINA">Recursos!$B$4</definedName>
    <definedName name="AUSTRALIA">Recursos!$B$5</definedName>
    <definedName name="AUSTRIA">Recursos!$B$6</definedName>
    <definedName name="BÉLGICA">Recursos!$B$7</definedName>
    <definedName name="BOSNIA_y_HERZEG.">Recursos!$B$8</definedName>
    <definedName name="BRASIL">Recursos!$B$9</definedName>
    <definedName name="CABO_VERDE">Recursos!$B$10</definedName>
    <definedName name="CANADÁ">Recursos!$B$11</definedName>
    <definedName name="CATAR">Recursos!$B$12</definedName>
    <definedName name="clave">Recursos!$AD$2</definedName>
    <definedName name="claveN">Recursos!$AD$3</definedName>
    <definedName name="CoefUTCD">UTC!$AA$3</definedName>
    <definedName name="COLOMBIA">Recursos!$B$13</definedName>
    <definedName name="COREA_del_SUR">Recursos!$B$14</definedName>
    <definedName name="COSTA_de_MARFIL">Recursos!$B$15</definedName>
    <definedName name="CROACIA">Recursos!$B$16</definedName>
    <definedName name="CURAZAO">Recursos!$B$17</definedName>
    <definedName name="ECUADOR">Recursos!$B$18</definedName>
    <definedName name="EGIPTO">Recursos!$B$20</definedName>
    <definedName name="ESCOCIA">Recursos!$B$21</definedName>
    <definedName name="ESPAÑA">Recursos!$B$22</definedName>
    <definedName name="ESTADOS_UNIDOS">Recursos!$B$19</definedName>
    <definedName name="flag01">INDIRECT(Dieciseisavos!$E$8)</definedName>
    <definedName name="flag02">INDIRECT(Dieciseisavos!$E$12)</definedName>
    <definedName name="flag03">INDIRECT(Dieciseisavos!$E$16)</definedName>
    <definedName name="flag04">INDIRECT(Dieciseisavos!$E$20)</definedName>
    <definedName name="flag05">INDIRECT(Dieciseisavos!$E$24)</definedName>
    <definedName name="flag06">INDIRECT(Dieciseisavos!$E$28)</definedName>
    <definedName name="flag07">INDIRECT(Dieciseisavos!$E$32)</definedName>
    <definedName name="flag08">INDIRECT(Dieciseisavos!$E$36)</definedName>
    <definedName name="flag09">INDIRECT(Dieciseisavos!$E$40)</definedName>
    <definedName name="flag10">INDIRECT(Dieciseisavos!$E$44)</definedName>
    <definedName name="flag11">INDIRECT(Dieciseisavos!$E$48)</definedName>
    <definedName name="flag12">INDIRECT(Dieciseisavos!$E$52)</definedName>
    <definedName name="flag13">INDIRECT(Dieciseisavos!$E$56)</definedName>
    <definedName name="flag14">INDIRECT(Dieciseisavos!$E$60)</definedName>
    <definedName name="flag15">INDIRECT(Dieciseisavos!$E$64)</definedName>
    <definedName name="flag16">INDIRECT(Dieciseisavos!$E$68)</definedName>
    <definedName name="flag17">INDIRECT(Dieciseisavos!$O$8)</definedName>
    <definedName name="flag18">INDIRECT(Dieciseisavos!$O$12)</definedName>
    <definedName name="flag19">INDIRECT(Dieciseisavos!$O$16)</definedName>
    <definedName name="flag20">INDIRECT(Dieciseisavos!$O$20)</definedName>
    <definedName name="flag21">INDIRECT(Dieciseisavos!$O$24)</definedName>
    <definedName name="flag22">INDIRECT(Dieciseisavos!$O$28)</definedName>
    <definedName name="flag23">INDIRECT(Dieciseisavos!$O$32)</definedName>
    <definedName name="flag24">INDIRECT(Dieciseisavos!$O$36)</definedName>
    <definedName name="flag25">INDIRECT(Dieciseisavos!$O$40)</definedName>
    <definedName name="flag26">INDIRECT(Dieciseisavos!$O$44)</definedName>
    <definedName name="flag27">INDIRECT(Dieciseisavos!$O$48)</definedName>
    <definedName name="flag28">INDIRECT(Dieciseisavos!$O$52)</definedName>
    <definedName name="flag29">INDIRECT(Dieciseisavos!$O$56)</definedName>
    <definedName name="flag30">INDIRECT(Dieciseisavos!$O$60)</definedName>
    <definedName name="flag31">INDIRECT(Dieciseisavos!$O$64)</definedName>
    <definedName name="flag32">INDIRECT(Dieciseisavos!$O$68)</definedName>
    <definedName name="flag33">INDIRECT(Octavos!$E$8)</definedName>
    <definedName name="flag34">INDIRECT(Octavos!$E$12)</definedName>
    <definedName name="flag35">INDIRECT(Octavos!$E$16)</definedName>
    <definedName name="flag36">INDIRECT(Octavos!$E$20)</definedName>
    <definedName name="flag37">INDIRECT(Octavos!$E$24)</definedName>
    <definedName name="flag38">INDIRECT(Octavos!$E$28)</definedName>
    <definedName name="flag39">INDIRECT(Octavos!$E$32)</definedName>
    <definedName name="flag40">INDIRECT(Octavos!$E$36)</definedName>
    <definedName name="flag41">INDIRECT(Octavos!$O$8)</definedName>
    <definedName name="flag42">INDIRECT(Octavos!$O$12)</definedName>
    <definedName name="flag43">INDIRECT(Octavos!$O$16)</definedName>
    <definedName name="flag44">INDIRECT(Octavos!$O$20)</definedName>
    <definedName name="flag45">INDIRECT(Octavos!$O$24)</definedName>
    <definedName name="flag46">INDIRECT(Octavos!$O$28)</definedName>
    <definedName name="flag47">INDIRECT(Octavos!$O$32)</definedName>
    <definedName name="flag48">INDIRECT(Octavos!$O$36)</definedName>
    <definedName name="flag49">INDIRECT(Cuartos!$E$8)</definedName>
    <definedName name="flag50">INDIRECT(Cuartos!$E$12)</definedName>
    <definedName name="flag51">INDIRECT(Cuartos!$E$16)</definedName>
    <definedName name="flag52">INDIRECT(Cuartos!$E$20)</definedName>
    <definedName name="flag53">INDIRECT(Cuartos!$O$8)</definedName>
    <definedName name="flag54">INDIRECT(Cuartos!$O$12)</definedName>
    <definedName name="flag55">INDIRECT(Cuartos!$O$16)</definedName>
    <definedName name="flag56">INDIRECT(Cuartos!$O$20)</definedName>
    <definedName name="flag57">INDIRECT(Semifinales!$E$8)</definedName>
    <definedName name="flag58">INDIRECT(Semifinales!$E$12)</definedName>
    <definedName name="flag59">INDIRECT(Semifinales!$O$8)</definedName>
    <definedName name="flag60">INDIRECT(Semifinales!$O$12)</definedName>
    <definedName name="flag61">INDIRECT(FINAL!$E$8)</definedName>
    <definedName name="flag62">INDIRECT(FINAL!$E$15)</definedName>
    <definedName name="flag63">INDIRECT(FINAL!$O$8)</definedName>
    <definedName name="flag64">INDIRECT(FINAL!$O$15)</definedName>
    <definedName name="flag65">INDIRECT(FINAL!$E$16)</definedName>
    <definedName name="FRANCIA">Recursos!$B$23</definedName>
    <definedName name="Ganador100">Cuartos!$R$20</definedName>
    <definedName name="Ganador101">Semifinales!$R$8</definedName>
    <definedName name="Ganador102">Semifinales!$R$12</definedName>
    <definedName name="Ganador73">Dieciseisavos!$R$8</definedName>
    <definedName name="Ganador74">Dieciseisavos!$R$16</definedName>
    <definedName name="Ganador75">Dieciseisavos!$R$20</definedName>
    <definedName name="Ganador76">Dieciseisavos!$R$12</definedName>
    <definedName name="Ganador77">Dieciseisavos!$R$28</definedName>
    <definedName name="Ganador78">Dieciseisavos!$R$24</definedName>
    <definedName name="Ganador79">Dieciseisavos!$R$32</definedName>
    <definedName name="Ganador80">Dieciseisavos!$R$36</definedName>
    <definedName name="Ganador81">Dieciseisavos!$R$44</definedName>
    <definedName name="Ganador82">Dieciseisavos!$R$40</definedName>
    <definedName name="Ganador83">Dieciseisavos!$R$52</definedName>
    <definedName name="Ganador84">Dieciseisavos!$R$48</definedName>
    <definedName name="Ganador85">Dieciseisavos!$R$56</definedName>
    <definedName name="Ganador86">Dieciseisavos!$R$64</definedName>
    <definedName name="Ganador87">Dieciseisavos!$R$68</definedName>
    <definedName name="Ganador88">Dieciseisavos!$R$60</definedName>
    <definedName name="Ganador89">Octavos!$R$12</definedName>
    <definedName name="Ganador90">Octavos!$R$8</definedName>
    <definedName name="Ganador91">Octavos!$R$16</definedName>
    <definedName name="Ganador92">Octavos!$R$20</definedName>
    <definedName name="Ganador93">Octavos!$R$24</definedName>
    <definedName name="Ganador94">Octavos!$R$28</definedName>
    <definedName name="Ganador95">Octavos!$R$32</definedName>
    <definedName name="Ganador96">Octavos!$R$36</definedName>
    <definedName name="Ganador97">Cuartos!$R$8</definedName>
    <definedName name="Ganador98">Cuartos!$R$12</definedName>
    <definedName name="Ganador99">Cuartos!$R$16</definedName>
    <definedName name="GHANA">Recursos!$B$24</definedName>
    <definedName name="HAITÍ">Recursos!$B$25</definedName>
    <definedName name="HD">UTC!$Y$3</definedName>
    <definedName name="INGLATERRA">Recursos!$B$26</definedName>
    <definedName name="IRAK">Recursos!$B$27</definedName>
    <definedName name="IRÁN">Recursos!$B$28</definedName>
    <definedName name="JAPÓN">Recursos!$B$29</definedName>
    <definedName name="JORDANIA">Recursos!$B$30</definedName>
    <definedName name="ListaUTC">Recursos!$D$1:$D$36</definedName>
    <definedName name="MARRUECOS">Recursos!$B$31</definedName>
    <definedName name="MD">UTC!$Z$3</definedName>
    <definedName name="MÉXICO">Recursos!$B$32</definedName>
    <definedName name="NORUEGA">Recursos!$B$33</definedName>
    <definedName name="NUEVA_ZELANDA">Recursos!$B$34</definedName>
    <definedName name="PAÍSES_BAJOS">Recursos!$B$35</definedName>
    <definedName name="PANAMÁ">Recursos!$B$36</definedName>
    <definedName name="PARAGUAY">Recursos!$B$37</definedName>
    <definedName name="Perdedor101">Semifinales!$T$8</definedName>
    <definedName name="Perdedor102">Semifinales!$T$12</definedName>
    <definedName name="PORTUGAL">Recursos!$B$38</definedName>
    <definedName name="PrimeroA">A!$AQ$10</definedName>
    <definedName name="PrimeroB">B!$AQ$10</definedName>
    <definedName name="PrimeroC">'C'!$AQ$10</definedName>
    <definedName name="PrimeroD">D!$AQ$10</definedName>
    <definedName name="PrimeroE">E!$AQ$10</definedName>
    <definedName name="PrimeroF">F!$AQ$10</definedName>
    <definedName name="PrimeroG">G!$AQ$10</definedName>
    <definedName name="PrimeroH">H!$AQ$10</definedName>
    <definedName name="PrimeroI">I!$AQ$10</definedName>
    <definedName name="PrimeroJ">J!$AQ$10</definedName>
    <definedName name="PrimeroK">K!$AQ$10</definedName>
    <definedName name="PrimeroL">L!$AQ$10</definedName>
    <definedName name="provi">Ingreso!$B$8:$C$436</definedName>
    <definedName name="REP._CHECA">Recursos!$B$39</definedName>
    <definedName name="REP._del_CONGO">Recursos!$B$40</definedName>
    <definedName name="SD">UTC!$X$3</definedName>
    <definedName name="SegundoA">A!$AQ$15</definedName>
    <definedName name="SegundoB">B!$AQ$15</definedName>
    <definedName name="SegundoC">'C'!$AQ$15</definedName>
    <definedName name="SegundoD">D!$AQ$15</definedName>
    <definedName name="SegundoE">E!$AQ$15</definedName>
    <definedName name="SegundoF">F!$AQ$15</definedName>
    <definedName name="SegundoG">G!$AQ$15</definedName>
    <definedName name="SegundoH">H!$AQ$15</definedName>
    <definedName name="SegundoI">I!$AQ$15</definedName>
    <definedName name="SegundoJ">J!$AQ$15</definedName>
    <definedName name="SegundoK">K!$AQ$15</definedName>
    <definedName name="SegundoL">L!$AQ$15</definedName>
    <definedName name="SENEGAL">Recursos!$B$41</definedName>
    <definedName name="SUDÁFRICA">Recursos!$B$42</definedName>
    <definedName name="SUECIA">Recursos!$B$43</definedName>
    <definedName name="SUIZA">Recursos!$B$44</definedName>
    <definedName name="TablaUTC">Recursos!$D$1:$D$36</definedName>
    <definedName name="tcp">Copyright!$XFD$1</definedName>
    <definedName name="TerceroA">A!$AQ$20</definedName>
    <definedName name="TerceroB">B!$AQ$20</definedName>
    <definedName name="TerceroC">'C'!$AQ$20</definedName>
    <definedName name="TerceroD">D!$AQ$20</definedName>
    <definedName name="TerceroE">E!$AQ$20</definedName>
    <definedName name="TerceroF">F!$AQ$20</definedName>
    <definedName name="TerceroG">G!$AQ$20</definedName>
    <definedName name="TerceroH">H!$AQ$20</definedName>
    <definedName name="TerceroI">I!$AQ$20</definedName>
    <definedName name="TerceroJ">J!$AQ$20</definedName>
    <definedName name="TerceroK">K!$AQ$20</definedName>
    <definedName name="TerceroL">L!$AQ$20</definedName>
    <definedName name="Terceros">Recursos!$AD$5:$AD$16</definedName>
    <definedName name="TÚNEZ">Recursos!$B$45</definedName>
    <definedName name="TURQUÍA">Recursos!$B$46</definedName>
    <definedName name="URUGUAY">Recursos!$B$47</definedName>
    <definedName name="UTCElegido">UTC!$C$3</definedName>
    <definedName name="UZBEKISTÁN">Recursos!$B$48</definedName>
    <definedName name="vacía">Recursos!$B$49</definedName>
    <definedName name="vcp">Portada!$XFD$1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46" l="1"/>
  <c r="AL25" i="48"/>
  <c r="XFD1" i="40"/>
  <c r="P15" i="34"/>
  <c r="P8" i="34"/>
  <c r="P12" i="19"/>
  <c r="P8" i="19"/>
  <c r="P20" i="18"/>
  <c r="P16" i="18"/>
  <c r="P12" i="18"/>
  <c r="P8" i="18"/>
  <c r="P36" i="54"/>
  <c r="P32" i="54"/>
  <c r="P28" i="54"/>
  <c r="P24" i="54"/>
  <c r="P20" i="54"/>
  <c r="P16" i="54"/>
  <c r="P12" i="54"/>
  <c r="P8" i="54"/>
  <c r="P68" i="17"/>
  <c r="P64" i="17"/>
  <c r="P60" i="17"/>
  <c r="P56" i="17"/>
  <c r="P52" i="17"/>
  <c r="P48" i="17"/>
  <c r="P44" i="17"/>
  <c r="P40" i="17"/>
  <c r="P36" i="17"/>
  <c r="P32" i="17"/>
  <c r="P28" i="17"/>
  <c r="P24" i="17"/>
  <c r="P20" i="17"/>
  <c r="P16" i="17"/>
  <c r="P12" i="17"/>
  <c r="P8" i="17"/>
  <c r="P74" i="35"/>
  <c r="P75" i="35"/>
  <c r="P76" i="35"/>
  <c r="P77" i="35"/>
  <c r="P78" i="35"/>
  <c r="P79" i="35"/>
  <c r="P80" i="35"/>
  <c r="P81" i="35"/>
  <c r="P82" i="35"/>
  <c r="P83" i="35"/>
  <c r="P84" i="35"/>
  <c r="P85" i="35"/>
  <c r="P86" i="35"/>
  <c r="P87" i="35"/>
  <c r="P88" i="35"/>
  <c r="P89" i="35"/>
  <c r="P90" i="35"/>
  <c r="P91" i="35"/>
  <c r="P92" i="35"/>
  <c r="P93" i="35"/>
  <c r="P94" i="35"/>
  <c r="P95" i="35"/>
  <c r="P96" i="35"/>
  <c r="P97" i="35"/>
  <c r="P98" i="35"/>
  <c r="P99" i="35"/>
  <c r="P100" i="35"/>
  <c r="P101" i="35"/>
  <c r="P102" i="35"/>
  <c r="P103" i="35"/>
  <c r="P104" i="35"/>
  <c r="P105" i="35"/>
  <c r="G40" i="17"/>
  <c r="L40" i="17"/>
  <c r="G44" i="17"/>
  <c r="L44" i="17"/>
  <c r="G48" i="17"/>
  <c r="L48" i="17"/>
  <c r="G52" i="17"/>
  <c r="L52" i="17"/>
  <c r="G56" i="17"/>
  <c r="L56" i="17"/>
  <c r="G60" i="17"/>
  <c r="L60" i="17"/>
  <c r="G64" i="17"/>
  <c r="L64" i="17"/>
  <c r="G68" i="17"/>
  <c r="L68" i="17"/>
  <c r="P3" i="35"/>
  <c r="P4" i="35"/>
  <c r="P5" i="35"/>
  <c r="P6" i="35"/>
  <c r="P7" i="35"/>
  <c r="P8" i="35"/>
  <c r="P9" i="35"/>
  <c r="P10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P28" i="35"/>
  <c r="P29" i="35"/>
  <c r="P30" i="35"/>
  <c r="P31" i="35"/>
  <c r="P32" i="35"/>
  <c r="P33" i="35"/>
  <c r="P34" i="35"/>
  <c r="P35" i="35"/>
  <c r="P36" i="35"/>
  <c r="P37" i="35"/>
  <c r="P38" i="35"/>
  <c r="P39" i="35"/>
  <c r="P40" i="35"/>
  <c r="P41" i="35"/>
  <c r="P42" i="35"/>
  <c r="P43" i="35"/>
  <c r="P44" i="35"/>
  <c r="P45" i="35"/>
  <c r="P46" i="35"/>
  <c r="P47" i="35"/>
  <c r="P48" i="35"/>
  <c r="P49" i="35"/>
  <c r="P50" i="35"/>
  <c r="P51" i="35"/>
  <c r="P52" i="35"/>
  <c r="P53" i="35"/>
  <c r="P54" i="35"/>
  <c r="P55" i="35"/>
  <c r="P56" i="35"/>
  <c r="P57" i="35"/>
  <c r="P58" i="35"/>
  <c r="P59" i="35"/>
  <c r="P60" i="35"/>
  <c r="P61" i="35"/>
  <c r="P62" i="35"/>
  <c r="P63" i="35"/>
  <c r="P64" i="35"/>
  <c r="P65" i="35"/>
  <c r="P66" i="35"/>
  <c r="P67" i="35"/>
  <c r="P68" i="35"/>
  <c r="P69" i="35"/>
  <c r="P70" i="35"/>
  <c r="P71" i="35"/>
  <c r="P72" i="35"/>
  <c r="P73" i="35"/>
  <c r="P2" i="35"/>
  <c r="Z3" i="39"/>
  <c r="Y3" i="39"/>
  <c r="X3" i="39"/>
  <c r="AU21" i="52"/>
  <c r="AU17" i="52"/>
  <c r="AT17" i="52"/>
  <c r="AT13" i="49"/>
  <c r="AU12" i="49"/>
  <c r="AU9" i="49"/>
  <c r="AT8" i="49"/>
  <c r="AT25" i="48"/>
  <c r="AU24" i="48"/>
  <c r="AT21" i="48"/>
  <c r="AU20" i="48"/>
  <c r="AU17" i="48"/>
  <c r="AT16" i="48"/>
  <c r="AU13" i="48"/>
  <c r="AT13" i="48"/>
  <c r="AU12" i="48"/>
  <c r="AT12" i="48"/>
  <c r="AU9" i="48"/>
  <c r="AT9" i="48"/>
  <c r="AU8" i="48"/>
  <c r="AT8" i="48"/>
  <c r="AS8" i="48"/>
  <c r="AT29" i="47"/>
  <c r="AU28" i="47"/>
  <c r="AU21" i="47"/>
  <c r="AT21" i="47"/>
  <c r="AU20" i="47"/>
  <c r="AT20" i="47"/>
  <c r="AT17" i="47"/>
  <c r="AU16" i="47"/>
  <c r="AU13" i="47"/>
  <c r="AT13" i="47"/>
  <c r="AU12" i="47"/>
  <c r="AT12" i="47"/>
  <c r="AU17" i="44"/>
  <c r="AT24" i="42"/>
  <c r="AU17" i="42"/>
  <c r="AT16" i="42"/>
  <c r="AU13" i="42"/>
  <c r="AT13" i="42"/>
  <c r="AU12" i="42"/>
  <c r="AT12" i="42"/>
  <c r="AU9" i="42"/>
  <c r="L36" i="54"/>
  <c r="G36" i="54"/>
  <c r="L32" i="54"/>
  <c r="G32" i="54"/>
  <c r="L28" i="54"/>
  <c r="G28" i="54"/>
  <c r="L24" i="54"/>
  <c r="G24" i="54"/>
  <c r="L20" i="54"/>
  <c r="G20" i="54"/>
  <c r="L16" i="54"/>
  <c r="G16" i="54"/>
  <c r="L12" i="54"/>
  <c r="G12" i="54"/>
  <c r="L8" i="54"/>
  <c r="G8" i="54"/>
  <c r="K28" i="22"/>
  <c r="I28" i="22"/>
  <c r="K24" i="22"/>
  <c r="I24" i="22"/>
  <c r="K20" i="22"/>
  <c r="I20" i="22"/>
  <c r="K16" i="22"/>
  <c r="I16" i="22"/>
  <c r="K12" i="22"/>
  <c r="K8" i="22"/>
  <c r="I12" i="22"/>
  <c r="I8" i="22"/>
  <c r="K28" i="52"/>
  <c r="I28" i="52"/>
  <c r="K24" i="52"/>
  <c r="I24" i="52"/>
  <c r="K20" i="52"/>
  <c r="AT21" i="52" s="1"/>
  <c r="I20" i="52"/>
  <c r="K16" i="52"/>
  <c r="I16" i="52"/>
  <c r="K12" i="52"/>
  <c r="I12" i="52"/>
  <c r="K8" i="52"/>
  <c r="I8" i="52"/>
  <c r="K28" i="51"/>
  <c r="I28" i="51"/>
  <c r="K24" i="51"/>
  <c r="I24" i="51"/>
  <c r="K20" i="51"/>
  <c r="I20" i="51"/>
  <c r="K16" i="51"/>
  <c r="I16" i="51"/>
  <c r="K12" i="51"/>
  <c r="I12" i="51"/>
  <c r="K8" i="51"/>
  <c r="I8" i="51"/>
  <c r="K28" i="50"/>
  <c r="I28" i="50"/>
  <c r="K24" i="50"/>
  <c r="I24" i="50"/>
  <c r="K20" i="50"/>
  <c r="I20" i="50"/>
  <c r="K16" i="50"/>
  <c r="I16" i="50"/>
  <c r="K12" i="50"/>
  <c r="I12" i="50"/>
  <c r="K8" i="50"/>
  <c r="I8" i="50"/>
  <c r="K28" i="49"/>
  <c r="I28" i="49"/>
  <c r="K24" i="49"/>
  <c r="I24" i="49"/>
  <c r="K20" i="49"/>
  <c r="I20" i="49"/>
  <c r="K16" i="49"/>
  <c r="I16" i="49"/>
  <c r="K12" i="49"/>
  <c r="I12" i="49"/>
  <c r="K8" i="49"/>
  <c r="I8" i="49"/>
  <c r="K28" i="48"/>
  <c r="I28" i="48"/>
  <c r="K24" i="48"/>
  <c r="I24" i="48"/>
  <c r="K20" i="48"/>
  <c r="I20" i="48"/>
  <c r="K16" i="48"/>
  <c r="I16" i="48"/>
  <c r="K12" i="48"/>
  <c r="I12" i="48"/>
  <c r="K8" i="48"/>
  <c r="I8" i="48"/>
  <c r="K28" i="47"/>
  <c r="I28" i="47"/>
  <c r="K24" i="47"/>
  <c r="I24" i="47"/>
  <c r="K20" i="47"/>
  <c r="AK15" i="47" s="1"/>
  <c r="I20" i="47"/>
  <c r="K16" i="47"/>
  <c r="I16" i="47"/>
  <c r="K12" i="47"/>
  <c r="I12" i="47"/>
  <c r="AK20" i="47" s="1"/>
  <c r="K8" i="47"/>
  <c r="I8" i="47"/>
  <c r="AK10" i="47" s="1"/>
  <c r="N16" i="44"/>
  <c r="K12" i="46"/>
  <c r="I12" i="46"/>
  <c r="K8" i="46"/>
  <c r="I8" i="46"/>
  <c r="K20" i="46"/>
  <c r="I20" i="46"/>
  <c r="I16" i="46"/>
  <c r="K24" i="46"/>
  <c r="I24" i="46"/>
  <c r="K28" i="46"/>
  <c r="I28" i="46"/>
  <c r="K28" i="45"/>
  <c r="I28" i="45"/>
  <c r="K24" i="45"/>
  <c r="I24" i="45"/>
  <c r="K20" i="45"/>
  <c r="I20" i="45"/>
  <c r="K16" i="45"/>
  <c r="I16" i="45"/>
  <c r="K12" i="45"/>
  <c r="I12" i="45"/>
  <c r="K8" i="45"/>
  <c r="I8" i="45"/>
  <c r="K28" i="42"/>
  <c r="I28" i="42"/>
  <c r="K24" i="42"/>
  <c r="I24" i="42"/>
  <c r="K20" i="42"/>
  <c r="I20" i="42"/>
  <c r="K16" i="42"/>
  <c r="I16" i="42"/>
  <c r="K12" i="42"/>
  <c r="I12" i="42"/>
  <c r="K8" i="42"/>
  <c r="AT9" i="42" s="1"/>
  <c r="I8" i="42"/>
  <c r="K28" i="43"/>
  <c r="I28" i="43"/>
  <c r="K24" i="43"/>
  <c r="I24" i="43"/>
  <c r="K20" i="43"/>
  <c r="I20" i="43"/>
  <c r="K16" i="43"/>
  <c r="I16" i="43"/>
  <c r="K12" i="43"/>
  <c r="I12" i="43"/>
  <c r="K8" i="43"/>
  <c r="I8" i="43"/>
  <c r="K28" i="44"/>
  <c r="I28" i="44"/>
  <c r="K24" i="44"/>
  <c r="I24" i="44"/>
  <c r="K20" i="44"/>
  <c r="I20" i="44"/>
  <c r="K16" i="44"/>
  <c r="I16" i="44"/>
  <c r="I8" i="44"/>
  <c r="K12" i="44"/>
  <c r="I12" i="44"/>
  <c r="K8" i="44"/>
  <c r="P28" i="52"/>
  <c r="P24" i="52"/>
  <c r="P20" i="52"/>
  <c r="P16" i="52"/>
  <c r="P12" i="52"/>
  <c r="P8" i="52"/>
  <c r="P28" i="51"/>
  <c r="P24" i="51"/>
  <c r="P20" i="51"/>
  <c r="P16" i="51"/>
  <c r="P12" i="51"/>
  <c r="P8" i="51"/>
  <c r="P28" i="50"/>
  <c r="P24" i="50"/>
  <c r="P20" i="50"/>
  <c r="P16" i="50"/>
  <c r="P12" i="50"/>
  <c r="P8" i="50"/>
  <c r="P28" i="49"/>
  <c r="P24" i="49"/>
  <c r="P20" i="49"/>
  <c r="P16" i="49"/>
  <c r="P12" i="49"/>
  <c r="P8" i="49"/>
  <c r="P28" i="48"/>
  <c r="P24" i="48"/>
  <c r="P20" i="48"/>
  <c r="P16" i="48"/>
  <c r="P12" i="48"/>
  <c r="P8" i="48"/>
  <c r="P28" i="47"/>
  <c r="P24" i="47"/>
  <c r="P20" i="47"/>
  <c r="P16" i="47"/>
  <c r="P12" i="47"/>
  <c r="P8" i="47"/>
  <c r="P28" i="46"/>
  <c r="P24" i="46"/>
  <c r="P20" i="46"/>
  <c r="P16" i="46"/>
  <c r="P12" i="46"/>
  <c r="P8" i="46"/>
  <c r="P28" i="45"/>
  <c r="P24" i="45"/>
  <c r="P20" i="45"/>
  <c r="P16" i="45"/>
  <c r="P12" i="45"/>
  <c r="P8" i="45"/>
  <c r="P28" i="44"/>
  <c r="P24" i="44"/>
  <c r="P20" i="44"/>
  <c r="P16" i="44"/>
  <c r="P12" i="44"/>
  <c r="P8" i="44"/>
  <c r="P28" i="43"/>
  <c r="P24" i="43"/>
  <c r="P20" i="43"/>
  <c r="P16" i="43"/>
  <c r="P12" i="43"/>
  <c r="P8" i="43"/>
  <c r="P28" i="42"/>
  <c r="P24" i="42"/>
  <c r="P20" i="42"/>
  <c r="P16" i="42"/>
  <c r="P12" i="42"/>
  <c r="P8" i="42"/>
  <c r="N28" i="52"/>
  <c r="N24" i="52"/>
  <c r="N20" i="52"/>
  <c r="AS21" i="52" s="1"/>
  <c r="N16" i="52"/>
  <c r="AS17" i="52" s="1"/>
  <c r="N12" i="52"/>
  <c r="N8" i="52"/>
  <c r="N28" i="51"/>
  <c r="N24" i="51"/>
  <c r="N20" i="51"/>
  <c r="N16" i="51"/>
  <c r="N12" i="51"/>
  <c r="N8" i="51"/>
  <c r="N28" i="50"/>
  <c r="N24" i="50"/>
  <c r="N20" i="50"/>
  <c r="N16" i="50"/>
  <c r="N12" i="50"/>
  <c r="N8" i="50"/>
  <c r="N28" i="49"/>
  <c r="N24" i="49"/>
  <c r="N20" i="49"/>
  <c r="N16" i="49"/>
  <c r="N12" i="49"/>
  <c r="N8" i="49"/>
  <c r="N28" i="48"/>
  <c r="N24" i="48"/>
  <c r="N20" i="48"/>
  <c r="N16" i="48"/>
  <c r="N12" i="48"/>
  <c r="N8" i="48"/>
  <c r="N28" i="47"/>
  <c r="N24" i="47"/>
  <c r="N20" i="47"/>
  <c r="N16" i="47"/>
  <c r="N12" i="47"/>
  <c r="AS13" i="47" s="1"/>
  <c r="N8" i="47"/>
  <c r="N28" i="46"/>
  <c r="N24" i="46"/>
  <c r="N20" i="46"/>
  <c r="N16" i="46"/>
  <c r="N12" i="46"/>
  <c r="N8" i="46"/>
  <c r="N28" i="45"/>
  <c r="N24" i="45"/>
  <c r="N20" i="45"/>
  <c r="N16" i="45"/>
  <c r="N12" i="45"/>
  <c r="N8" i="45"/>
  <c r="N28" i="44"/>
  <c r="N24" i="44"/>
  <c r="N20" i="44"/>
  <c r="N12" i="44"/>
  <c r="N8" i="44"/>
  <c r="N28" i="43"/>
  <c r="N24" i="43"/>
  <c r="N20" i="43"/>
  <c r="N16" i="43"/>
  <c r="N12" i="43"/>
  <c r="N8" i="43"/>
  <c r="N28" i="42"/>
  <c r="N24" i="42"/>
  <c r="N20" i="42"/>
  <c r="N16" i="42"/>
  <c r="N12" i="42"/>
  <c r="N8" i="42"/>
  <c r="F28" i="52"/>
  <c r="F24" i="52"/>
  <c r="F20" i="52"/>
  <c r="F16" i="52"/>
  <c r="F12" i="52"/>
  <c r="F8" i="52"/>
  <c r="F28" i="51"/>
  <c r="F24" i="51"/>
  <c r="F20" i="51"/>
  <c r="F16" i="51"/>
  <c r="F12" i="51"/>
  <c r="F8" i="51"/>
  <c r="F28" i="50"/>
  <c r="F24" i="50"/>
  <c r="F20" i="50"/>
  <c r="F16" i="50"/>
  <c r="F12" i="50"/>
  <c r="F8" i="50"/>
  <c r="F28" i="49"/>
  <c r="F24" i="49"/>
  <c r="F20" i="49"/>
  <c r="F16" i="49"/>
  <c r="F12" i="49"/>
  <c r="F8" i="49"/>
  <c r="F28" i="48"/>
  <c r="F24" i="48"/>
  <c r="F20" i="48"/>
  <c r="F16" i="48"/>
  <c r="F12" i="48"/>
  <c r="F8" i="48"/>
  <c r="F28" i="47"/>
  <c r="F24" i="47"/>
  <c r="F20" i="47"/>
  <c r="F16" i="47"/>
  <c r="F12" i="47"/>
  <c r="F8" i="47"/>
  <c r="F28" i="46"/>
  <c r="F24" i="46"/>
  <c r="F20" i="46"/>
  <c r="F16" i="46"/>
  <c r="F12" i="46"/>
  <c r="F8" i="46"/>
  <c r="F28" i="45"/>
  <c r="F24" i="45"/>
  <c r="F20" i="45"/>
  <c r="F16" i="45"/>
  <c r="F12" i="45"/>
  <c r="F8" i="45"/>
  <c r="F28" i="44"/>
  <c r="F24" i="44"/>
  <c r="F20" i="44"/>
  <c r="F16" i="44"/>
  <c r="F12" i="44"/>
  <c r="F8" i="44"/>
  <c r="F28" i="43"/>
  <c r="F24" i="43"/>
  <c r="F20" i="43"/>
  <c r="F16" i="43"/>
  <c r="F12" i="43"/>
  <c r="F8" i="43"/>
  <c r="F28" i="42"/>
  <c r="F24" i="42"/>
  <c r="F20" i="42"/>
  <c r="F16" i="42"/>
  <c r="F12" i="42"/>
  <c r="F8" i="42"/>
  <c r="P28" i="22"/>
  <c r="P24" i="22"/>
  <c r="P20" i="22"/>
  <c r="P16" i="22"/>
  <c r="P12" i="22"/>
  <c r="N28" i="22"/>
  <c r="N24" i="22"/>
  <c r="N20" i="22"/>
  <c r="N16" i="22"/>
  <c r="N12" i="22"/>
  <c r="F28" i="22"/>
  <c r="F24" i="22"/>
  <c r="F20" i="22"/>
  <c r="F16" i="22"/>
  <c r="F12" i="22"/>
  <c r="P8" i="22"/>
  <c r="N8" i="22"/>
  <c r="F8" i="22"/>
  <c r="AT29" i="52" l="1"/>
  <c r="AU28" i="52"/>
  <c r="AS29" i="52"/>
  <c r="AU29" i="52"/>
  <c r="AT28" i="52"/>
  <c r="AS28" i="52"/>
  <c r="AT25" i="52"/>
  <c r="AU24" i="52"/>
  <c r="AU25" i="52"/>
  <c r="AS25" i="52"/>
  <c r="AT24" i="52"/>
  <c r="AS24" i="52"/>
  <c r="AL10" i="47"/>
  <c r="AM10" i="47" s="1"/>
  <c r="AK25" i="47"/>
  <c r="AU29" i="47"/>
  <c r="AV29" i="47" s="1"/>
  <c r="AS29" i="47"/>
  <c r="AT28" i="47"/>
  <c r="AV28" i="47" s="1"/>
  <c r="AS28" i="47"/>
  <c r="AT25" i="47"/>
  <c r="AU24" i="47"/>
  <c r="AU25" i="47"/>
  <c r="AV25" i="47" s="1"/>
  <c r="AS25" i="47"/>
  <c r="AT24" i="47"/>
  <c r="AV24" i="47" s="1"/>
  <c r="AS24" i="47"/>
  <c r="AT29" i="48"/>
  <c r="AU28" i="48"/>
  <c r="AU29" i="48"/>
  <c r="AS29" i="48"/>
  <c r="AT28" i="48"/>
  <c r="AS28" i="48"/>
  <c r="AU25" i="48"/>
  <c r="AS25" i="48"/>
  <c r="AT24" i="48"/>
  <c r="AS24" i="48"/>
  <c r="AS24" i="42"/>
  <c r="AU24" i="42"/>
  <c r="AS21" i="47"/>
  <c r="AS20" i="47"/>
  <c r="AU21" i="48"/>
  <c r="AS21" i="48"/>
  <c r="AT20" i="48"/>
  <c r="AS20" i="48"/>
  <c r="AS16" i="47"/>
  <c r="AU17" i="47"/>
  <c r="AS17" i="47"/>
  <c r="AT16" i="47"/>
  <c r="AK20" i="48"/>
  <c r="AT17" i="48"/>
  <c r="AU16" i="48"/>
  <c r="AS17" i="48"/>
  <c r="AS16" i="48"/>
  <c r="AT21" i="42"/>
  <c r="AU20" i="42"/>
  <c r="AS21" i="42"/>
  <c r="AS20" i="42"/>
  <c r="AT20" i="42"/>
  <c r="AV20" i="42" s="1"/>
  <c r="AU21" i="42"/>
  <c r="AV21" i="42" s="1"/>
  <c r="AT17" i="42"/>
  <c r="AV17" i="42" s="1"/>
  <c r="AU16" i="42"/>
  <c r="AV16" i="42" s="1"/>
  <c r="AS17" i="42"/>
  <c r="AS16" i="42"/>
  <c r="AU13" i="49"/>
  <c r="AT12" i="49"/>
  <c r="AS13" i="49"/>
  <c r="AS12" i="49"/>
  <c r="AO6" i="49"/>
  <c r="AU8" i="49"/>
  <c r="AV8" i="49" s="1"/>
  <c r="AT9" i="49"/>
  <c r="AV9" i="49" s="1"/>
  <c r="AS9" i="49"/>
  <c r="AS8" i="49"/>
  <c r="AL20" i="48"/>
  <c r="AK25" i="48"/>
  <c r="AS12" i="48"/>
  <c r="AS13" i="48"/>
  <c r="AL10" i="48"/>
  <c r="AK15" i="48"/>
  <c r="AS9" i="48"/>
  <c r="AL15" i="48"/>
  <c r="AM15" i="48" s="1"/>
  <c r="AK10" i="48"/>
  <c r="AS12" i="42"/>
  <c r="AS13" i="42"/>
  <c r="AL25" i="47"/>
  <c r="AM25" i="47" s="1"/>
  <c r="AL20" i="47"/>
  <c r="AL15" i="47"/>
  <c r="AK10" i="42"/>
  <c r="AL25" i="42"/>
  <c r="AL20" i="42"/>
  <c r="AL15" i="42"/>
  <c r="AL10" i="42"/>
  <c r="AK25" i="42"/>
  <c r="AK20" i="42"/>
  <c r="AK15" i="42"/>
  <c r="AU16" i="52"/>
  <c r="AT16" i="52"/>
  <c r="AS16" i="52"/>
  <c r="AU13" i="52"/>
  <c r="AT13" i="52"/>
  <c r="AS13" i="52"/>
  <c r="AU12" i="52"/>
  <c r="AT12" i="52"/>
  <c r="AS12" i="52"/>
  <c r="AU9" i="52"/>
  <c r="AT9" i="52"/>
  <c r="AS9" i="52"/>
  <c r="AU8" i="52"/>
  <c r="AT8" i="52"/>
  <c r="AS8" i="52"/>
  <c r="AO6" i="52"/>
  <c r="AU29" i="51"/>
  <c r="AT29" i="51"/>
  <c r="AS29" i="51"/>
  <c r="AU28" i="51"/>
  <c r="AT28" i="51"/>
  <c r="AS28" i="51"/>
  <c r="AU25" i="51"/>
  <c r="AT25" i="51"/>
  <c r="AS25" i="51"/>
  <c r="AU24" i="51"/>
  <c r="AT24" i="51"/>
  <c r="AS24" i="51"/>
  <c r="AU21" i="51"/>
  <c r="AT21" i="51"/>
  <c r="AS21" i="51"/>
  <c r="AU20" i="51"/>
  <c r="AT20" i="51"/>
  <c r="AS20" i="51"/>
  <c r="AU17" i="51"/>
  <c r="AT17" i="51"/>
  <c r="AS17" i="51"/>
  <c r="AU16" i="51"/>
  <c r="AT16" i="51"/>
  <c r="AS16" i="51"/>
  <c r="AU13" i="51"/>
  <c r="AT13" i="51"/>
  <c r="AS13" i="51"/>
  <c r="AU12" i="51"/>
  <c r="AT12" i="51"/>
  <c r="AS12" i="51"/>
  <c r="AU9" i="51"/>
  <c r="AT9" i="51"/>
  <c r="AS9" i="51"/>
  <c r="AU8" i="51"/>
  <c r="AT8" i="51"/>
  <c r="AS8" i="51"/>
  <c r="AO6" i="51"/>
  <c r="AU29" i="50"/>
  <c r="AT29" i="50"/>
  <c r="AS29" i="50"/>
  <c r="AU28" i="50"/>
  <c r="AT28" i="50"/>
  <c r="AS28" i="50"/>
  <c r="AU25" i="50"/>
  <c r="AT25" i="50"/>
  <c r="AS25" i="50"/>
  <c r="AU24" i="50"/>
  <c r="AT24" i="50"/>
  <c r="AS24" i="50"/>
  <c r="AU21" i="50"/>
  <c r="AT21" i="50"/>
  <c r="AS21" i="50"/>
  <c r="AU20" i="50"/>
  <c r="AT20" i="50"/>
  <c r="AU28" i="49"/>
  <c r="AT28" i="49"/>
  <c r="AS28" i="49"/>
  <c r="AU25" i="49"/>
  <c r="AT25" i="49"/>
  <c r="AS25" i="49"/>
  <c r="AU24" i="49"/>
  <c r="AT24" i="49"/>
  <c r="AS24" i="49"/>
  <c r="AU21" i="49"/>
  <c r="AT21" i="49"/>
  <c r="AS21" i="49"/>
  <c r="AU20" i="49"/>
  <c r="AT20" i="49"/>
  <c r="AS20" i="49"/>
  <c r="AU17" i="49"/>
  <c r="AT17" i="49"/>
  <c r="AS17" i="49"/>
  <c r="AU16" i="49"/>
  <c r="AT16" i="49"/>
  <c r="AS16" i="49"/>
  <c r="AS12" i="47"/>
  <c r="AU9" i="47"/>
  <c r="AT9" i="47"/>
  <c r="AS9" i="47"/>
  <c r="AU8" i="47"/>
  <c r="AT8" i="47"/>
  <c r="AS8" i="47"/>
  <c r="AO6" i="47"/>
  <c r="AU29" i="46"/>
  <c r="AT29" i="46"/>
  <c r="AS29" i="46"/>
  <c r="AU28" i="46"/>
  <c r="AT28" i="46"/>
  <c r="AS28" i="46"/>
  <c r="AU25" i="46"/>
  <c r="AT25" i="46"/>
  <c r="AV25" i="46" s="1"/>
  <c r="AS25" i="46"/>
  <c r="AU24" i="46"/>
  <c r="AT24" i="46"/>
  <c r="AV24" i="46" s="1"/>
  <c r="AS24" i="46"/>
  <c r="AU21" i="46"/>
  <c r="AT21" i="46"/>
  <c r="AS21" i="46"/>
  <c r="AU20" i="46"/>
  <c r="AT20" i="46"/>
  <c r="AS20" i="46"/>
  <c r="AU17" i="46"/>
  <c r="AU9" i="46"/>
  <c r="AT9" i="46"/>
  <c r="AS9" i="46"/>
  <c r="AU8" i="46"/>
  <c r="AT8" i="46"/>
  <c r="AS8" i="46"/>
  <c r="AO6" i="46"/>
  <c r="AU29" i="45"/>
  <c r="AT29" i="45"/>
  <c r="AS29" i="45"/>
  <c r="AU28" i="45"/>
  <c r="AT28" i="45"/>
  <c r="AV28" i="45" s="1"/>
  <c r="AS28" i="45"/>
  <c r="AU25" i="45"/>
  <c r="AT25" i="45"/>
  <c r="AS25" i="45"/>
  <c r="AU24" i="45"/>
  <c r="AT24" i="45"/>
  <c r="AV24" i="45" s="1"/>
  <c r="AS24" i="45"/>
  <c r="AU21" i="45"/>
  <c r="AT21" i="45"/>
  <c r="AS21" i="45"/>
  <c r="AU20" i="45"/>
  <c r="AT20" i="45"/>
  <c r="AV20" i="45" s="1"/>
  <c r="AS20" i="45"/>
  <c r="AU17" i="45"/>
  <c r="AT17" i="45"/>
  <c r="AS17" i="45"/>
  <c r="AU16" i="45"/>
  <c r="AT16" i="45"/>
  <c r="AS16" i="45"/>
  <c r="AU13" i="45"/>
  <c r="AT13" i="45"/>
  <c r="AS13" i="45"/>
  <c r="AU12" i="45"/>
  <c r="AT12" i="45"/>
  <c r="AS12" i="45"/>
  <c r="AU9" i="45"/>
  <c r="AT9" i="45"/>
  <c r="AS9" i="45"/>
  <c r="AU8" i="45"/>
  <c r="AT8" i="45"/>
  <c r="AS8" i="45"/>
  <c r="AO6" i="45"/>
  <c r="AU29" i="44"/>
  <c r="AT29" i="44"/>
  <c r="AS29" i="44"/>
  <c r="AU28" i="44"/>
  <c r="AT28" i="44"/>
  <c r="AV28" i="44" s="1"/>
  <c r="AS28" i="44"/>
  <c r="AU25" i="44"/>
  <c r="AT25" i="44"/>
  <c r="AS25" i="44"/>
  <c r="AU24" i="44"/>
  <c r="AT24" i="44"/>
  <c r="AV24" i="44" s="1"/>
  <c r="AS24" i="44"/>
  <c r="AU21" i="44"/>
  <c r="AT21" i="44"/>
  <c r="AS21" i="44"/>
  <c r="AU20" i="44"/>
  <c r="AT20" i="44"/>
  <c r="AS20" i="44"/>
  <c r="AT17" i="44"/>
  <c r="AV17" i="44" s="1"/>
  <c r="AS17" i="44"/>
  <c r="AU16" i="44"/>
  <c r="AV16" i="44" s="1"/>
  <c r="AU24" i="43"/>
  <c r="AT24" i="43"/>
  <c r="AS24" i="43"/>
  <c r="AU21" i="43"/>
  <c r="AT21" i="43"/>
  <c r="AS21" i="43"/>
  <c r="AU20" i="43"/>
  <c r="AT20" i="43"/>
  <c r="AS20" i="43"/>
  <c r="AU17" i="43"/>
  <c r="AT17" i="43"/>
  <c r="AS17" i="43"/>
  <c r="AU16" i="43"/>
  <c r="AT16" i="43"/>
  <c r="AS16" i="43"/>
  <c r="AU13" i="43"/>
  <c r="AT13" i="43"/>
  <c r="AS13" i="43"/>
  <c r="AU12" i="43"/>
  <c r="AT12" i="43"/>
  <c r="AV12" i="43" s="1"/>
  <c r="AS12" i="43"/>
  <c r="AU9" i="43"/>
  <c r="AT9" i="43"/>
  <c r="AS9" i="43"/>
  <c r="AU8" i="43"/>
  <c r="AT8" i="43"/>
  <c r="AV8" i="43" s="1"/>
  <c r="AS8" i="43"/>
  <c r="AO6" i="43"/>
  <c r="AU29" i="42"/>
  <c r="AT29" i="42"/>
  <c r="AS29" i="42"/>
  <c r="AU28" i="42"/>
  <c r="AT28" i="42"/>
  <c r="AV28" i="42" s="1"/>
  <c r="AS28" i="42"/>
  <c r="AU25" i="42"/>
  <c r="AT25" i="42"/>
  <c r="AS25" i="42"/>
  <c r="AS9" i="42"/>
  <c r="AU8" i="42"/>
  <c r="AT8" i="42"/>
  <c r="AS8" i="42"/>
  <c r="AO6" i="42"/>
  <c r="AL25" i="52"/>
  <c r="AL15" i="52"/>
  <c r="AL10" i="52"/>
  <c r="AK25" i="52"/>
  <c r="AK20" i="52"/>
  <c r="AK15" i="52"/>
  <c r="AM15" i="52" s="1"/>
  <c r="AK10" i="52"/>
  <c r="AL25" i="51"/>
  <c r="AL20" i="51"/>
  <c r="AL15" i="51"/>
  <c r="AL10" i="51"/>
  <c r="AK25" i="51"/>
  <c r="AK20" i="51"/>
  <c r="AM20" i="51" s="1"/>
  <c r="AK15" i="51"/>
  <c r="AK10" i="51"/>
  <c r="AL25" i="50"/>
  <c r="AL15" i="50"/>
  <c r="AL10" i="50"/>
  <c r="AK20" i="50"/>
  <c r="AK10" i="50"/>
  <c r="AM10" i="50" s="1"/>
  <c r="AL20" i="49"/>
  <c r="AL10" i="49"/>
  <c r="AK20" i="49"/>
  <c r="AM20" i="49" s="1"/>
  <c r="AL20" i="46"/>
  <c r="AL10" i="46"/>
  <c r="AK20" i="46"/>
  <c r="AK10" i="46"/>
  <c r="AL20" i="45"/>
  <c r="AL15" i="45"/>
  <c r="AK25" i="45"/>
  <c r="AK10" i="45"/>
  <c r="AL25" i="44"/>
  <c r="AL10" i="44"/>
  <c r="AK15" i="44"/>
  <c r="AK25" i="44"/>
  <c r="AM25" i="44" s="1"/>
  <c r="AL20" i="43"/>
  <c r="AL10" i="43"/>
  <c r="AK20" i="43"/>
  <c r="AK10" i="43"/>
  <c r="AL20" i="52"/>
  <c r="AL20" i="50"/>
  <c r="AK25" i="50"/>
  <c r="AK15" i="50"/>
  <c r="AL25" i="49"/>
  <c r="AL15" i="49"/>
  <c r="AK25" i="49"/>
  <c r="AM25" i="49" s="1"/>
  <c r="AK15" i="49"/>
  <c r="AK10" i="49"/>
  <c r="AL25" i="46"/>
  <c r="AL15" i="46"/>
  <c r="AK25" i="46"/>
  <c r="AK15" i="46"/>
  <c r="AL25" i="45"/>
  <c r="AL10" i="45"/>
  <c r="AK20" i="45"/>
  <c r="AK15" i="45"/>
  <c r="AL20" i="44"/>
  <c r="AL15" i="44"/>
  <c r="AK20" i="44"/>
  <c r="AK10" i="44"/>
  <c r="AL25" i="43"/>
  <c r="AL15" i="43"/>
  <c r="AK25" i="43"/>
  <c r="AK15" i="43"/>
  <c r="AU20" i="52"/>
  <c r="AT20" i="52"/>
  <c r="AS20" i="52"/>
  <c r="AS20" i="50"/>
  <c r="AU17" i="50"/>
  <c r="AT17" i="50"/>
  <c r="AS17" i="50"/>
  <c r="AU16" i="50"/>
  <c r="AT16" i="50"/>
  <c r="AS16" i="50"/>
  <c r="AU13" i="50"/>
  <c r="AT13" i="50"/>
  <c r="AS13" i="50"/>
  <c r="AU12" i="50"/>
  <c r="AT12" i="50"/>
  <c r="AS12" i="50"/>
  <c r="AU9" i="50"/>
  <c r="AT9" i="50"/>
  <c r="AS9" i="50"/>
  <c r="AU8" i="50"/>
  <c r="AT8" i="50"/>
  <c r="AS8" i="50"/>
  <c r="AO6" i="50"/>
  <c r="AU29" i="49"/>
  <c r="AT29" i="49"/>
  <c r="AS29" i="49"/>
  <c r="AO6" i="48"/>
  <c r="AT17" i="46"/>
  <c r="AS17" i="46"/>
  <c r="AU16" i="46"/>
  <c r="AT16" i="46"/>
  <c r="AS16" i="46"/>
  <c r="AU13" i="46"/>
  <c r="AT13" i="46"/>
  <c r="AS13" i="46"/>
  <c r="AU12" i="46"/>
  <c r="AT12" i="46"/>
  <c r="AS12" i="46"/>
  <c r="AT16" i="44"/>
  <c r="AS16" i="44"/>
  <c r="AU13" i="44"/>
  <c r="AT13" i="44"/>
  <c r="AV13" i="44" s="1"/>
  <c r="AS13" i="44"/>
  <c r="AU12" i="44"/>
  <c r="AV12" i="44" s="1"/>
  <c r="AT12" i="44"/>
  <c r="AS12" i="44"/>
  <c r="AU9" i="44"/>
  <c r="AT9" i="44"/>
  <c r="AS9" i="44"/>
  <c r="AU8" i="44"/>
  <c r="AT8" i="44"/>
  <c r="AS8" i="44"/>
  <c r="AO6" i="44"/>
  <c r="AU29" i="43"/>
  <c r="AT29" i="43"/>
  <c r="AS29" i="43"/>
  <c r="AU28" i="43"/>
  <c r="AT28" i="43"/>
  <c r="AS28" i="43"/>
  <c r="AU25" i="43"/>
  <c r="AT25" i="43"/>
  <c r="AS25" i="43"/>
  <c r="AA3" i="39"/>
  <c r="AF15" i="52"/>
  <c r="AR13" i="52"/>
  <c r="AF10" i="52"/>
  <c r="AR9" i="52"/>
  <c r="AR28" i="51"/>
  <c r="AR25" i="51"/>
  <c r="AF25" i="51"/>
  <c r="AR21" i="51"/>
  <c r="AF20" i="51"/>
  <c r="AR17" i="51"/>
  <c r="AR13" i="50"/>
  <c r="AF10" i="50"/>
  <c r="AR8" i="50"/>
  <c r="AR29" i="52"/>
  <c r="AR28" i="52"/>
  <c r="AR25" i="52"/>
  <c r="AF25" i="52"/>
  <c r="AR24" i="52"/>
  <c r="AR21" i="52"/>
  <c r="AR20" i="52"/>
  <c r="AF20" i="52"/>
  <c r="AR17" i="52"/>
  <c r="AR16" i="52"/>
  <c r="AR12" i="52"/>
  <c r="AR8" i="52"/>
  <c r="AR29" i="51"/>
  <c r="AR24" i="51"/>
  <c r="AR20" i="51"/>
  <c r="AR12" i="50"/>
  <c r="AR9" i="50"/>
  <c r="AF25" i="49"/>
  <c r="AR12" i="48"/>
  <c r="AR9" i="48"/>
  <c r="AR16" i="51"/>
  <c r="AF15" i="51"/>
  <c r="AR13" i="51"/>
  <c r="AR12" i="51"/>
  <c r="AF10" i="51"/>
  <c r="AR9" i="51"/>
  <c r="AR8" i="51"/>
  <c r="AR29" i="50"/>
  <c r="AR28" i="50"/>
  <c r="AR25" i="50"/>
  <c r="AF25" i="50"/>
  <c r="AR24" i="50"/>
  <c r="AR21" i="50"/>
  <c r="AR20" i="50"/>
  <c r="AF20" i="50"/>
  <c r="AR17" i="50"/>
  <c r="AR16" i="50"/>
  <c r="AF15" i="50"/>
  <c r="AR29" i="49"/>
  <c r="AR28" i="49"/>
  <c r="AR25" i="49"/>
  <c r="AR24" i="49"/>
  <c r="AR13" i="48"/>
  <c r="AR13" i="46"/>
  <c r="AR17" i="44"/>
  <c r="AR21" i="49"/>
  <c r="AR20" i="49"/>
  <c r="AF20" i="49"/>
  <c r="AR17" i="49"/>
  <c r="AR16" i="49"/>
  <c r="AF15" i="49"/>
  <c r="AR13" i="49"/>
  <c r="AR12" i="49"/>
  <c r="AF10" i="49"/>
  <c r="AR9" i="49"/>
  <c r="AR8" i="49"/>
  <c r="AR29" i="48"/>
  <c r="AR28" i="48"/>
  <c r="AR25" i="48"/>
  <c r="AF25" i="48"/>
  <c r="AR24" i="48"/>
  <c r="AR21" i="48"/>
  <c r="AR20" i="48"/>
  <c r="AF20" i="48"/>
  <c r="AR17" i="48"/>
  <c r="AR16" i="48"/>
  <c r="AF15" i="48"/>
  <c r="AF10" i="48"/>
  <c r="AR8" i="48"/>
  <c r="AR29" i="47"/>
  <c r="AR12" i="46"/>
  <c r="AR28" i="47"/>
  <c r="AR25" i="47"/>
  <c r="AF25" i="47"/>
  <c r="AR24" i="47"/>
  <c r="AR21" i="47"/>
  <c r="AR20" i="47"/>
  <c r="AF20" i="47"/>
  <c r="AR17" i="47"/>
  <c r="AR16" i="47"/>
  <c r="AF15" i="47"/>
  <c r="AR13" i="47"/>
  <c r="AR12" i="47"/>
  <c r="AF10" i="47"/>
  <c r="AR9" i="47"/>
  <c r="AR8" i="47"/>
  <c r="AR29" i="46"/>
  <c r="AR28" i="46"/>
  <c r="AR25" i="46"/>
  <c r="AF25" i="46"/>
  <c r="AR24" i="46"/>
  <c r="AR21" i="46"/>
  <c r="AR20" i="46"/>
  <c r="AF20" i="46"/>
  <c r="AR17" i="46"/>
  <c r="AR16" i="46"/>
  <c r="AF15" i="46"/>
  <c r="AF10" i="46"/>
  <c r="AR9" i="46"/>
  <c r="AR8" i="46"/>
  <c r="AR29" i="45"/>
  <c r="AR28" i="45"/>
  <c r="AR25" i="45"/>
  <c r="AF25" i="45"/>
  <c r="AR24" i="45"/>
  <c r="AR21" i="45"/>
  <c r="AR20" i="45"/>
  <c r="AF20" i="45"/>
  <c r="AR17" i="45"/>
  <c r="AR16" i="45"/>
  <c r="AF15" i="45"/>
  <c r="AR13" i="45"/>
  <c r="AR12" i="45"/>
  <c r="AF10" i="45"/>
  <c r="AR9" i="45"/>
  <c r="AR8" i="45"/>
  <c r="AR29" i="44"/>
  <c r="AR28" i="44"/>
  <c r="AR25" i="44"/>
  <c r="AF25" i="44"/>
  <c r="AR24" i="44"/>
  <c r="AR21" i="44"/>
  <c r="AR20" i="44"/>
  <c r="AF20" i="44"/>
  <c r="AR16" i="44"/>
  <c r="AF15" i="44"/>
  <c r="AR13" i="44"/>
  <c r="AR12" i="44"/>
  <c r="AF10" i="44"/>
  <c r="AR9" i="44"/>
  <c r="AR8" i="44"/>
  <c r="AR29" i="43"/>
  <c r="AR28" i="43"/>
  <c r="AR25" i="43"/>
  <c r="AF25" i="43"/>
  <c r="AR24" i="43"/>
  <c r="AR21" i="43"/>
  <c r="AR20" i="43"/>
  <c r="AF20" i="43"/>
  <c r="AR17" i="43"/>
  <c r="AR16" i="43"/>
  <c r="AF15" i="43"/>
  <c r="AR13" i="43"/>
  <c r="AR12" i="43"/>
  <c r="AF10" i="43"/>
  <c r="AR9" i="43"/>
  <c r="AR8" i="43"/>
  <c r="AR29" i="42"/>
  <c r="AR28" i="42"/>
  <c r="AR25" i="42"/>
  <c r="AF25" i="42"/>
  <c r="AR24" i="42"/>
  <c r="AR21" i="42"/>
  <c r="AR20" i="42"/>
  <c r="AF20" i="42"/>
  <c r="AR17" i="42"/>
  <c r="AR16" i="42"/>
  <c r="AF15" i="42"/>
  <c r="AR13" i="42"/>
  <c r="AR12" i="42"/>
  <c r="AF10" i="42"/>
  <c r="AR9" i="42"/>
  <c r="AR8" i="42"/>
  <c r="AR29" i="22"/>
  <c r="AR28" i="22"/>
  <c r="AR25" i="22"/>
  <c r="AF25" i="22"/>
  <c r="AR24" i="22"/>
  <c r="AR21" i="22"/>
  <c r="AR20" i="22"/>
  <c r="AF20" i="22"/>
  <c r="AR17" i="22"/>
  <c r="AR16" i="22"/>
  <c r="AF15" i="22"/>
  <c r="AR13" i="22"/>
  <c r="AR12" i="22"/>
  <c r="AF10" i="22"/>
  <c r="AR9" i="22"/>
  <c r="AR8" i="22"/>
  <c r="AU29" i="22"/>
  <c r="AT28" i="22"/>
  <c r="AS29" i="22"/>
  <c r="AT29" i="22"/>
  <c r="AS28" i="22"/>
  <c r="AU28" i="22"/>
  <c r="AU25" i="22"/>
  <c r="AT24" i="22"/>
  <c r="AT25" i="22"/>
  <c r="AU24" i="22"/>
  <c r="AS24" i="22"/>
  <c r="AS25" i="22"/>
  <c r="AT20" i="22"/>
  <c r="AU21" i="22"/>
  <c r="AS21" i="22"/>
  <c r="AT21" i="22"/>
  <c r="AU20" i="22"/>
  <c r="AS20" i="22"/>
  <c r="AU17" i="22"/>
  <c r="AT16" i="22"/>
  <c r="AT17" i="22"/>
  <c r="AU16" i="22"/>
  <c r="AS17" i="22"/>
  <c r="AS16" i="22"/>
  <c r="AU12" i="22"/>
  <c r="AT13" i="22"/>
  <c r="AL20" i="22"/>
  <c r="AK25" i="22"/>
  <c r="AT12" i="22"/>
  <c r="AU13" i="22"/>
  <c r="AS12" i="22"/>
  <c r="AL25" i="22"/>
  <c r="AK20" i="22"/>
  <c r="AS13" i="22"/>
  <c r="AT9" i="22"/>
  <c r="AU8" i="22"/>
  <c r="AL10" i="22"/>
  <c r="AK15" i="22"/>
  <c r="AU9" i="22"/>
  <c r="AO6" i="22"/>
  <c r="AT8" i="22"/>
  <c r="AS9" i="22"/>
  <c r="AK10" i="22"/>
  <c r="AL15" i="22"/>
  <c r="AS8" i="22"/>
  <c r="AV29" i="52"/>
  <c r="AV17" i="52"/>
  <c r="AV28" i="52"/>
  <c r="AV24" i="52"/>
  <c r="AV25" i="52"/>
  <c r="AV21" i="52"/>
  <c r="AV13" i="49"/>
  <c r="AV12" i="49"/>
  <c r="AV25" i="48"/>
  <c r="AV17" i="48"/>
  <c r="AV16" i="48"/>
  <c r="AV13" i="48"/>
  <c r="AV9" i="48"/>
  <c r="AV8" i="48"/>
  <c r="AV12" i="48"/>
  <c r="AV29" i="48"/>
  <c r="AV28" i="48"/>
  <c r="AM25" i="48"/>
  <c r="AV24" i="48"/>
  <c r="AV21" i="48"/>
  <c r="AV20" i="48"/>
  <c r="AM20" i="48"/>
  <c r="AV16" i="47"/>
  <c r="AV20" i="47"/>
  <c r="AV21" i="47"/>
  <c r="AV12" i="47"/>
  <c r="AV13" i="47"/>
  <c r="AV17" i="47"/>
  <c r="AV9" i="45"/>
  <c r="AV8" i="45"/>
  <c r="AV24" i="42"/>
  <c r="AV25" i="42"/>
  <c r="AV13" i="42"/>
  <c r="AV12" i="42"/>
  <c r="AV9" i="42"/>
  <c r="F35" i="43"/>
  <c r="F33" i="22"/>
  <c r="F32" i="22"/>
  <c r="F35" i="22"/>
  <c r="F34" i="22"/>
  <c r="G8" i="22"/>
  <c r="I32" i="22" s="1"/>
  <c r="L8" i="22"/>
  <c r="I33" i="22" s="1"/>
  <c r="L28" i="22"/>
  <c r="K34" i="22" s="1"/>
  <c r="G28" i="22"/>
  <c r="K33" i="22" s="1"/>
  <c r="L24" i="22"/>
  <c r="K32" i="22" s="1"/>
  <c r="G24" i="22"/>
  <c r="K35" i="22" s="1"/>
  <c r="L20" i="22"/>
  <c r="J34" i="22" s="1"/>
  <c r="G20" i="22"/>
  <c r="J32" i="22" s="1"/>
  <c r="L16" i="22"/>
  <c r="J33" i="22" s="1"/>
  <c r="G16" i="22"/>
  <c r="J35" i="22" s="1"/>
  <c r="L12" i="22"/>
  <c r="I35" i="22" s="1"/>
  <c r="G12" i="22"/>
  <c r="I34" i="22" s="1"/>
  <c r="AK1" i="22"/>
  <c r="G28" i="52"/>
  <c r="K33" i="52" s="1"/>
  <c r="L28" i="52"/>
  <c r="K34" i="52" s="1"/>
  <c r="L24" i="52"/>
  <c r="K32" i="52" s="1"/>
  <c r="G24" i="52"/>
  <c r="K35" i="52" s="1"/>
  <c r="L20" i="52"/>
  <c r="J33" i="52" s="1"/>
  <c r="G20" i="52"/>
  <c r="J35" i="52" s="1"/>
  <c r="L16" i="52"/>
  <c r="J34" i="52" s="1"/>
  <c r="G16" i="52"/>
  <c r="J32" i="52" s="1"/>
  <c r="L12" i="52"/>
  <c r="I35" i="52" s="1"/>
  <c r="G12" i="52"/>
  <c r="I34" i="52" s="1"/>
  <c r="G8" i="52"/>
  <c r="I32" i="52" s="1"/>
  <c r="L8" i="52"/>
  <c r="I33" i="52" s="1"/>
  <c r="G28" i="51"/>
  <c r="K33" i="51" s="1"/>
  <c r="L28" i="51"/>
  <c r="K34" i="51" s="1"/>
  <c r="G24" i="51"/>
  <c r="K35" i="51" s="1"/>
  <c r="L24" i="51"/>
  <c r="K32" i="51" s="1"/>
  <c r="G20" i="51"/>
  <c r="J35" i="51" s="1"/>
  <c r="L20" i="51"/>
  <c r="J33" i="51" s="1"/>
  <c r="G16" i="51"/>
  <c r="J32" i="51" s="1"/>
  <c r="L16" i="51"/>
  <c r="J34" i="51" s="1"/>
  <c r="L12" i="51"/>
  <c r="I35" i="51" s="1"/>
  <c r="G12" i="51"/>
  <c r="I34" i="51" s="1"/>
  <c r="L8" i="51"/>
  <c r="I33" i="51" s="1"/>
  <c r="G8" i="51"/>
  <c r="I32" i="51" s="1"/>
  <c r="L28" i="50"/>
  <c r="K32" i="50" s="1"/>
  <c r="G28" i="50"/>
  <c r="K35" i="50" s="1"/>
  <c r="G24" i="50"/>
  <c r="K33" i="50" s="1"/>
  <c r="L24" i="50"/>
  <c r="K34" i="50" s="1"/>
  <c r="G20" i="50"/>
  <c r="J35" i="50" s="1"/>
  <c r="L20" i="50"/>
  <c r="J33" i="50" s="1"/>
  <c r="L16" i="50"/>
  <c r="J34" i="50" s="1"/>
  <c r="G16" i="50"/>
  <c r="J32" i="50" s="1"/>
  <c r="L12" i="50"/>
  <c r="I35" i="50" s="1"/>
  <c r="G12" i="50"/>
  <c r="I34" i="50" s="1"/>
  <c r="G8" i="50"/>
  <c r="I32" i="50" s="1"/>
  <c r="L8" i="50"/>
  <c r="I33" i="50" s="1"/>
  <c r="G28" i="49"/>
  <c r="K33" i="49" s="1"/>
  <c r="L28" i="49"/>
  <c r="K34" i="49" s="1"/>
  <c r="G24" i="49"/>
  <c r="K35" i="49" s="1"/>
  <c r="L24" i="49"/>
  <c r="K32" i="49" s="1"/>
  <c r="G20" i="49"/>
  <c r="J35" i="49" s="1"/>
  <c r="L20" i="49"/>
  <c r="J33" i="49" s="1"/>
  <c r="L16" i="49"/>
  <c r="J34" i="49" s="1"/>
  <c r="G16" i="49"/>
  <c r="J32" i="49" s="1"/>
  <c r="G12" i="49"/>
  <c r="I34" i="49" s="1"/>
  <c r="L12" i="49"/>
  <c r="I35" i="49" s="1"/>
  <c r="G8" i="49"/>
  <c r="I32" i="49" s="1"/>
  <c r="L8" i="49"/>
  <c r="I33" i="49" s="1"/>
  <c r="G28" i="48"/>
  <c r="K35" i="48" s="1"/>
  <c r="L28" i="48"/>
  <c r="K32" i="48" s="1"/>
  <c r="L24" i="48"/>
  <c r="K34" i="48" s="1"/>
  <c r="G24" i="48"/>
  <c r="K33" i="48" s="1"/>
  <c r="G20" i="48"/>
  <c r="J35" i="48" s="1"/>
  <c r="L20" i="48"/>
  <c r="J33" i="48" s="1"/>
  <c r="L16" i="48"/>
  <c r="J34" i="48" s="1"/>
  <c r="G16" i="48"/>
  <c r="J32" i="48" s="1"/>
  <c r="G12" i="48"/>
  <c r="I34" i="48" s="1"/>
  <c r="L12" i="48"/>
  <c r="I35" i="48" s="1"/>
  <c r="L8" i="48"/>
  <c r="I33" i="48" s="1"/>
  <c r="G8" i="48"/>
  <c r="I32" i="48" s="1"/>
  <c r="L28" i="47"/>
  <c r="K32" i="47" s="1"/>
  <c r="G28" i="47"/>
  <c r="K35" i="47" s="1"/>
  <c r="L24" i="47"/>
  <c r="K34" i="47" s="1"/>
  <c r="G24" i="47"/>
  <c r="K33" i="47" s="1"/>
  <c r="G20" i="47"/>
  <c r="J35" i="47" s="1"/>
  <c r="L20" i="47"/>
  <c r="J33" i="47" s="1"/>
  <c r="G16" i="47"/>
  <c r="J32" i="47" s="1"/>
  <c r="L16" i="47"/>
  <c r="J34" i="47" s="1"/>
  <c r="G12" i="47"/>
  <c r="I34" i="47" s="1"/>
  <c r="L12" i="47"/>
  <c r="I35" i="47" s="1"/>
  <c r="G8" i="47"/>
  <c r="I32" i="47" s="1"/>
  <c r="L8" i="47"/>
  <c r="I33" i="47" s="1"/>
  <c r="L28" i="46"/>
  <c r="K32" i="46" s="1"/>
  <c r="G28" i="46"/>
  <c r="K35" i="46" s="1"/>
  <c r="G24" i="46"/>
  <c r="K33" i="46" s="1"/>
  <c r="L24" i="46"/>
  <c r="K34" i="46" s="1"/>
  <c r="L20" i="46"/>
  <c r="J33" i="46" s="1"/>
  <c r="G20" i="46"/>
  <c r="J35" i="46" s="1"/>
  <c r="G16" i="46"/>
  <c r="J32" i="46" s="1"/>
  <c r="L16" i="46"/>
  <c r="J34" i="46" s="1"/>
  <c r="L12" i="46"/>
  <c r="I35" i="46" s="1"/>
  <c r="G12" i="46"/>
  <c r="I34" i="46" s="1"/>
  <c r="L8" i="46"/>
  <c r="I33" i="46" s="1"/>
  <c r="G8" i="46"/>
  <c r="I32" i="46" s="1"/>
  <c r="G28" i="45"/>
  <c r="K35" i="45" s="1"/>
  <c r="L28" i="45"/>
  <c r="K32" i="45" s="1"/>
  <c r="L24" i="45"/>
  <c r="K34" i="45" s="1"/>
  <c r="G24" i="45"/>
  <c r="K33" i="45" s="1"/>
  <c r="L20" i="45"/>
  <c r="J33" i="45" s="1"/>
  <c r="G20" i="45"/>
  <c r="J35" i="45" s="1"/>
  <c r="L16" i="45"/>
  <c r="J34" i="45" s="1"/>
  <c r="G16" i="45"/>
  <c r="J32" i="45" s="1"/>
  <c r="G12" i="45"/>
  <c r="I34" i="45" s="1"/>
  <c r="L12" i="45"/>
  <c r="I35" i="45" s="1"/>
  <c r="G8" i="45"/>
  <c r="I32" i="45" s="1"/>
  <c r="L8" i="45"/>
  <c r="I33" i="45" s="1"/>
  <c r="L8" i="44"/>
  <c r="I33" i="44" s="1"/>
  <c r="G8" i="44"/>
  <c r="I32" i="44" s="1"/>
  <c r="L12" i="44"/>
  <c r="I35" i="44" s="1"/>
  <c r="G12" i="44"/>
  <c r="I34" i="44" s="1"/>
  <c r="G16" i="44"/>
  <c r="J32" i="44" s="1"/>
  <c r="L16" i="44"/>
  <c r="J34" i="44" s="1"/>
  <c r="L20" i="44"/>
  <c r="J33" i="44" s="1"/>
  <c r="G20" i="44"/>
  <c r="J35" i="44" s="1"/>
  <c r="L24" i="44"/>
  <c r="K32" i="44" s="1"/>
  <c r="G24" i="44"/>
  <c r="K35" i="44" s="1"/>
  <c r="L28" i="44"/>
  <c r="K34" i="44" s="1"/>
  <c r="G28" i="44"/>
  <c r="K33" i="44" s="1"/>
  <c r="L28" i="43"/>
  <c r="K34" i="43" s="1"/>
  <c r="G28" i="43"/>
  <c r="K33" i="43" s="1"/>
  <c r="G24" i="43"/>
  <c r="K35" i="43" s="1"/>
  <c r="L24" i="43"/>
  <c r="K32" i="43" s="1"/>
  <c r="G20" i="43"/>
  <c r="J32" i="43" s="1"/>
  <c r="L20" i="43"/>
  <c r="J34" i="43" s="1"/>
  <c r="G16" i="43"/>
  <c r="J35" i="43" s="1"/>
  <c r="L16" i="43"/>
  <c r="J33" i="43" s="1"/>
  <c r="L12" i="43"/>
  <c r="I35" i="43" s="1"/>
  <c r="G12" i="43"/>
  <c r="I34" i="43" s="1"/>
  <c r="L8" i="43"/>
  <c r="I33" i="43" s="1"/>
  <c r="G8" i="43"/>
  <c r="I32" i="43" s="1"/>
  <c r="L8" i="42"/>
  <c r="I33" i="42" s="1"/>
  <c r="G8" i="42"/>
  <c r="I32" i="42" s="1"/>
  <c r="L12" i="42"/>
  <c r="I35" i="42" s="1"/>
  <c r="G12" i="42"/>
  <c r="I34" i="42" s="1"/>
  <c r="L16" i="42"/>
  <c r="J33" i="42" s="1"/>
  <c r="G16" i="42"/>
  <c r="J35" i="42" s="1"/>
  <c r="L20" i="42"/>
  <c r="J34" i="42" s="1"/>
  <c r="G20" i="42"/>
  <c r="J32" i="42" s="1"/>
  <c r="G24" i="42"/>
  <c r="K35" i="42" s="1"/>
  <c r="L24" i="42"/>
  <c r="K32" i="42" s="1"/>
  <c r="L28" i="42"/>
  <c r="K34" i="42" s="1"/>
  <c r="G28" i="42"/>
  <c r="K33" i="42" s="1"/>
  <c r="F35" i="52"/>
  <c r="F33" i="52"/>
  <c r="F35" i="51"/>
  <c r="F33" i="51"/>
  <c r="F35" i="50"/>
  <c r="F33" i="50"/>
  <c r="F35" i="49"/>
  <c r="F33" i="49"/>
  <c r="F35" i="48"/>
  <c r="F33" i="48"/>
  <c r="F35" i="47"/>
  <c r="F33" i="47"/>
  <c r="F35" i="46"/>
  <c r="F33" i="46"/>
  <c r="F35" i="45"/>
  <c r="F33" i="45"/>
  <c r="F35" i="44"/>
  <c r="F33" i="44"/>
  <c r="F33" i="43"/>
  <c r="F35" i="42"/>
  <c r="F33" i="42"/>
  <c r="F34" i="52"/>
  <c r="F32" i="52"/>
  <c r="F34" i="51"/>
  <c r="F32" i="51"/>
  <c r="F34" i="50"/>
  <c r="F32" i="50"/>
  <c r="F34" i="49"/>
  <c r="F32" i="49"/>
  <c r="F34" i="48"/>
  <c r="F32" i="48"/>
  <c r="F34" i="47"/>
  <c r="F32" i="47"/>
  <c r="F34" i="46"/>
  <c r="F32" i="46"/>
  <c r="F34" i="45"/>
  <c r="F32" i="45"/>
  <c r="F34" i="44"/>
  <c r="F32" i="44"/>
  <c r="F34" i="43"/>
  <c r="F32" i="43"/>
  <c r="F34" i="42"/>
  <c r="F32" i="42"/>
  <c r="Q4" i="35" l="1"/>
  <c r="Q8" i="35"/>
  <c r="Q10" i="35"/>
  <c r="Q13" i="35"/>
  <c r="Q20" i="35"/>
  <c r="Q25" i="35"/>
  <c r="Q32" i="35"/>
  <c r="Q38" i="35"/>
  <c r="Q45" i="35"/>
  <c r="Q50" i="35"/>
  <c r="Q57" i="35"/>
  <c r="Q61" i="35"/>
  <c r="Q66" i="35"/>
  <c r="Q73" i="35"/>
  <c r="Q80" i="35"/>
  <c r="Q88" i="35"/>
  <c r="Q94" i="35"/>
  <c r="Q100" i="35"/>
  <c r="Q3" i="35"/>
  <c r="Q14" i="35"/>
  <c r="Q17" i="35"/>
  <c r="Q23" i="35"/>
  <c r="Q29" i="35"/>
  <c r="Q35" i="35"/>
  <c r="Q41" i="35"/>
  <c r="Q46" i="35"/>
  <c r="Q53" i="35"/>
  <c r="Q58" i="35"/>
  <c r="E344" i="53" s="1"/>
  <c r="Q63" i="35"/>
  <c r="Q69" i="35"/>
  <c r="Q74" i="35"/>
  <c r="Q83" i="35"/>
  <c r="Q89" i="35"/>
  <c r="Q93" i="35"/>
  <c r="Q99" i="35"/>
  <c r="Q105" i="35"/>
  <c r="Q2" i="35"/>
  <c r="Q12" i="35"/>
  <c r="Q16" i="35"/>
  <c r="Q19" i="35"/>
  <c r="Q24" i="35"/>
  <c r="Q27" i="35"/>
  <c r="Q30" i="35"/>
  <c r="Q33" i="35"/>
  <c r="Q36" i="35"/>
  <c r="Q39" i="35"/>
  <c r="Q43" i="35"/>
  <c r="Q48" i="35"/>
  <c r="Q51" i="35"/>
  <c r="Q56" i="35"/>
  <c r="Q60" i="35"/>
  <c r="D354" i="53" s="1"/>
  <c r="Q64" i="35"/>
  <c r="Q68" i="35"/>
  <c r="Q72" i="35"/>
  <c r="Q75" i="35"/>
  <c r="Q78" i="35"/>
  <c r="Q84" i="35"/>
  <c r="Q87" i="35"/>
  <c r="Q92" i="35"/>
  <c r="Q98" i="35"/>
  <c r="Q102" i="35"/>
  <c r="Q6" i="35"/>
  <c r="Q11" i="35"/>
  <c r="Q21" i="35"/>
  <c r="Q28" i="35"/>
  <c r="Q34" i="35"/>
  <c r="Q40" i="35"/>
  <c r="Q44" i="35"/>
  <c r="Q49" i="35"/>
  <c r="Q55" i="35"/>
  <c r="Q59" i="35"/>
  <c r="Q65" i="35"/>
  <c r="Q70" i="35"/>
  <c r="Q76" i="35"/>
  <c r="Q81" i="35"/>
  <c r="Q90" i="35"/>
  <c r="Q96" i="35"/>
  <c r="Q104" i="35"/>
  <c r="Q5" i="35"/>
  <c r="Q7" i="35"/>
  <c r="Q9" i="35"/>
  <c r="Q15" i="35"/>
  <c r="Q18" i="35"/>
  <c r="Q22" i="35"/>
  <c r="Q26" i="35"/>
  <c r="Q31" i="35"/>
  <c r="Q37" i="35"/>
  <c r="Q42" i="35"/>
  <c r="Q47" i="35"/>
  <c r="Q52" i="35"/>
  <c r="Q62" i="35"/>
  <c r="Q67" i="35"/>
  <c r="Q71" i="35"/>
  <c r="Q77" i="35"/>
  <c r="Q82" i="35"/>
  <c r="Q86" i="35"/>
  <c r="Q95" i="35"/>
  <c r="Q101" i="35"/>
  <c r="Q54" i="35"/>
  <c r="Q79" i="35"/>
  <c r="Q85" i="35"/>
  <c r="Q91" i="35"/>
  <c r="Q97" i="35"/>
  <c r="Q103" i="35"/>
  <c r="AM25" i="50"/>
  <c r="AM20" i="50"/>
  <c r="AM25" i="52"/>
  <c r="AM10" i="48"/>
  <c r="AM10" i="49"/>
  <c r="AV29" i="44"/>
  <c r="AM15" i="44"/>
  <c r="AV25" i="44"/>
  <c r="AM10" i="44"/>
  <c r="AV29" i="45"/>
  <c r="AV25" i="45"/>
  <c r="AV28" i="43"/>
  <c r="AV29" i="43"/>
  <c r="AV24" i="43"/>
  <c r="AV29" i="42"/>
  <c r="AM15" i="51"/>
  <c r="AV16" i="52"/>
  <c r="AM10" i="52"/>
  <c r="AV21" i="46"/>
  <c r="AV20" i="46"/>
  <c r="AV21" i="45"/>
  <c r="AV17" i="45"/>
  <c r="AV16" i="45"/>
  <c r="AV21" i="44"/>
  <c r="AV20" i="44"/>
  <c r="AV21" i="43"/>
  <c r="AV20" i="43"/>
  <c r="AV17" i="43"/>
  <c r="AV16" i="43"/>
  <c r="AM20" i="44"/>
  <c r="AM15" i="49"/>
  <c r="AM25" i="51"/>
  <c r="AM15" i="50"/>
  <c r="AV12" i="45"/>
  <c r="AV13" i="45"/>
  <c r="AV13" i="43"/>
  <c r="AV9" i="46"/>
  <c r="AV8" i="46"/>
  <c r="AV9" i="43"/>
  <c r="AM25" i="42"/>
  <c r="AM20" i="42"/>
  <c r="AV9" i="44"/>
  <c r="AV8" i="42"/>
  <c r="AM10" i="42"/>
  <c r="AM15" i="42"/>
  <c r="AV25" i="50"/>
  <c r="AV21" i="50"/>
  <c r="AV25" i="49"/>
  <c r="AV16" i="49"/>
  <c r="AV9" i="47"/>
  <c r="AV8" i="47"/>
  <c r="AM20" i="52"/>
  <c r="AV13" i="52"/>
  <c r="AV9" i="52"/>
  <c r="AV8" i="52"/>
  <c r="AV20" i="52"/>
  <c r="AV12" i="52"/>
  <c r="AV20" i="51"/>
  <c r="AV16" i="51"/>
  <c r="AV13" i="51"/>
  <c r="AV9" i="51"/>
  <c r="AV8" i="51"/>
  <c r="AV29" i="51"/>
  <c r="AV21" i="51"/>
  <c r="AV12" i="51"/>
  <c r="AV24" i="51"/>
  <c r="AV17" i="51"/>
  <c r="AV28" i="51"/>
  <c r="AV25" i="51"/>
  <c r="AV9" i="50"/>
  <c r="AV8" i="50"/>
  <c r="AV17" i="50"/>
  <c r="AV16" i="50"/>
  <c r="AV12" i="50"/>
  <c r="AV29" i="50"/>
  <c r="AV13" i="50"/>
  <c r="AV20" i="50"/>
  <c r="AV28" i="50"/>
  <c r="AV24" i="50"/>
  <c r="AV29" i="49"/>
  <c r="AV28" i="49"/>
  <c r="AV24" i="49"/>
  <c r="AV21" i="49"/>
  <c r="AV20" i="49"/>
  <c r="AV17" i="49"/>
  <c r="AM15" i="47"/>
  <c r="AM20" i="47"/>
  <c r="AV29" i="46"/>
  <c r="AV17" i="46"/>
  <c r="AV16" i="46"/>
  <c r="AM20" i="46"/>
  <c r="AM15" i="46"/>
  <c r="AV13" i="46"/>
  <c r="AV12" i="46"/>
  <c r="AM10" i="46"/>
  <c r="AV28" i="46"/>
  <c r="AM25" i="46"/>
  <c r="AM10" i="45"/>
  <c r="AM20" i="45"/>
  <c r="AM25" i="45"/>
  <c r="AM15" i="45"/>
  <c r="AV9" i="22"/>
  <c r="AV8" i="22"/>
  <c r="AV13" i="22"/>
  <c r="AV29" i="22"/>
  <c r="AV28" i="22"/>
  <c r="AV25" i="22"/>
  <c r="AV24" i="22"/>
  <c r="AV12" i="22"/>
  <c r="AH15" i="42"/>
  <c r="AG15" i="42"/>
  <c r="AJ15" i="42"/>
  <c r="AI15" i="42"/>
  <c r="AI10" i="42"/>
  <c r="AJ10" i="42"/>
  <c r="AH10" i="42"/>
  <c r="AN10" i="42" s="1"/>
  <c r="AO10" i="42" s="1"/>
  <c r="AG10" i="42"/>
  <c r="AI25" i="42"/>
  <c r="AH25" i="42"/>
  <c r="AN25" i="42" s="1"/>
  <c r="AO25" i="42" s="1"/>
  <c r="AJ25" i="42"/>
  <c r="AG25" i="42"/>
  <c r="AJ20" i="42"/>
  <c r="AH20" i="42"/>
  <c r="AI20" i="42"/>
  <c r="AG20" i="42"/>
  <c r="AL8" i="17"/>
  <c r="AM10" i="51"/>
  <c r="AV8" i="44"/>
  <c r="AV25" i="43"/>
  <c r="AM25" i="43"/>
  <c r="AM10" i="43"/>
  <c r="AM20" i="43"/>
  <c r="AM15" i="43"/>
  <c r="AI25" i="52"/>
  <c r="AG25" i="52"/>
  <c r="AJ25" i="52"/>
  <c r="AH25" i="52"/>
  <c r="AN25" i="52" s="1"/>
  <c r="AO25" i="52" s="1"/>
  <c r="AJ20" i="52"/>
  <c r="AI20" i="52"/>
  <c r="AH20" i="52"/>
  <c r="AN20" i="52" s="1"/>
  <c r="AO20" i="52" s="1"/>
  <c r="AG20" i="52"/>
  <c r="AH10" i="52"/>
  <c r="AG10" i="52"/>
  <c r="AI10" i="52"/>
  <c r="AJ10" i="52"/>
  <c r="AH15" i="52"/>
  <c r="AI15" i="52"/>
  <c r="AJ15" i="52"/>
  <c r="AG15" i="52"/>
  <c r="AH25" i="51"/>
  <c r="AG25" i="51"/>
  <c r="AI25" i="51"/>
  <c r="AJ25" i="51"/>
  <c r="AI20" i="51"/>
  <c r="AH20" i="51"/>
  <c r="AN20" i="51" s="1"/>
  <c r="AO20" i="51" s="1"/>
  <c r="AJ20" i="51"/>
  <c r="AG20" i="51"/>
  <c r="AI15" i="51"/>
  <c r="AJ15" i="51"/>
  <c r="AG15" i="51"/>
  <c r="AH15" i="51"/>
  <c r="AN15" i="51" s="1"/>
  <c r="AO15" i="51" s="1"/>
  <c r="AI10" i="51"/>
  <c r="AG10" i="51"/>
  <c r="AJ10" i="51"/>
  <c r="AH10" i="51"/>
  <c r="AJ25" i="50"/>
  <c r="AG25" i="50"/>
  <c r="AH25" i="50"/>
  <c r="AI25" i="50"/>
  <c r="AG20" i="50"/>
  <c r="AH20" i="50"/>
  <c r="AI20" i="50"/>
  <c r="AJ20" i="50"/>
  <c r="AG10" i="50"/>
  <c r="AH10" i="50"/>
  <c r="AI10" i="50"/>
  <c r="AJ10" i="50"/>
  <c r="AH15" i="50"/>
  <c r="AJ15" i="50"/>
  <c r="AI15" i="50"/>
  <c r="AG15" i="50"/>
  <c r="AH20" i="49"/>
  <c r="AG20" i="49"/>
  <c r="AI20" i="49"/>
  <c r="AJ20" i="49"/>
  <c r="AH25" i="49"/>
  <c r="AJ25" i="49"/>
  <c r="AG25" i="49"/>
  <c r="AI25" i="49"/>
  <c r="AI10" i="49"/>
  <c r="AH10" i="49"/>
  <c r="AG10" i="49"/>
  <c r="AJ10" i="49"/>
  <c r="AG15" i="49"/>
  <c r="AI15" i="49"/>
  <c r="AH15" i="49"/>
  <c r="AN15" i="49" s="1"/>
  <c r="AO15" i="49" s="1"/>
  <c r="AJ15" i="49"/>
  <c r="AG20" i="48"/>
  <c r="AH20" i="48"/>
  <c r="AI20" i="48"/>
  <c r="AJ20" i="48"/>
  <c r="AI25" i="48"/>
  <c r="AG25" i="48"/>
  <c r="AJ25" i="48"/>
  <c r="AH25" i="48"/>
  <c r="AN25" i="48" s="1"/>
  <c r="AO25" i="48" s="1"/>
  <c r="AJ15" i="48"/>
  <c r="AI15" i="48"/>
  <c r="AH15" i="48"/>
  <c r="AG15" i="48"/>
  <c r="AJ10" i="48"/>
  <c r="AH10" i="48"/>
  <c r="AI10" i="48"/>
  <c r="AG10" i="48"/>
  <c r="AG20" i="47"/>
  <c r="AH20" i="47"/>
  <c r="AI20" i="47"/>
  <c r="AJ20" i="47"/>
  <c r="AH25" i="47"/>
  <c r="AG25" i="47"/>
  <c r="AJ25" i="47"/>
  <c r="AI25" i="47"/>
  <c r="AH10" i="47"/>
  <c r="AI10" i="47"/>
  <c r="AG10" i="47"/>
  <c r="AJ10" i="47"/>
  <c r="AJ15" i="47"/>
  <c r="AI15" i="47"/>
  <c r="AH15" i="47"/>
  <c r="AG15" i="47"/>
  <c r="AG25" i="46"/>
  <c r="AH25" i="46"/>
  <c r="AJ25" i="46"/>
  <c r="AI25" i="46"/>
  <c r="AG20" i="46"/>
  <c r="AJ20" i="46"/>
  <c r="AH20" i="46"/>
  <c r="AI20" i="46"/>
  <c r="AH15" i="46"/>
  <c r="AI15" i="46"/>
  <c r="AJ15" i="46"/>
  <c r="AG15" i="46"/>
  <c r="AH10" i="46"/>
  <c r="AG10" i="46"/>
  <c r="AJ10" i="46"/>
  <c r="AI10" i="46"/>
  <c r="AH20" i="45"/>
  <c r="AJ20" i="45"/>
  <c r="AI20" i="45"/>
  <c r="AG20" i="45"/>
  <c r="AJ25" i="45"/>
  <c r="AI25" i="45"/>
  <c r="AH25" i="45"/>
  <c r="AN25" i="45" s="1"/>
  <c r="AO25" i="45" s="1"/>
  <c r="AG25" i="45"/>
  <c r="AJ10" i="45"/>
  <c r="AI10" i="45"/>
  <c r="AH10" i="45"/>
  <c r="AN10" i="45" s="1"/>
  <c r="AO10" i="45" s="1"/>
  <c r="AG10" i="45"/>
  <c r="AH15" i="45"/>
  <c r="AG15" i="45"/>
  <c r="AJ15" i="45"/>
  <c r="AI15" i="45"/>
  <c r="AJ15" i="44"/>
  <c r="AI15" i="44"/>
  <c r="AH15" i="44"/>
  <c r="AG15" i="44"/>
  <c r="AJ10" i="44"/>
  <c r="AI10" i="44"/>
  <c r="AH10" i="44"/>
  <c r="AN10" i="44" s="1"/>
  <c r="AO10" i="44" s="1"/>
  <c r="AG10" i="44"/>
  <c r="AG25" i="44"/>
  <c r="AJ25" i="44"/>
  <c r="AI25" i="44"/>
  <c r="AH25" i="44"/>
  <c r="AI20" i="44"/>
  <c r="AG20" i="44"/>
  <c r="AJ20" i="44"/>
  <c r="AH20" i="44"/>
  <c r="AN20" i="44" s="1"/>
  <c r="AO20" i="44" s="1"/>
  <c r="AJ25" i="43"/>
  <c r="AI25" i="43"/>
  <c r="AH25" i="43"/>
  <c r="AN25" i="43" s="1"/>
  <c r="AO25" i="43" s="1"/>
  <c r="AG25" i="43"/>
  <c r="AJ20" i="43"/>
  <c r="AI20" i="43"/>
  <c r="AH20" i="43"/>
  <c r="AN20" i="43" s="1"/>
  <c r="AO20" i="43" s="1"/>
  <c r="AG20" i="43"/>
  <c r="AJ15" i="43"/>
  <c r="AI15" i="43"/>
  <c r="AH15" i="43"/>
  <c r="AG15" i="43"/>
  <c r="AJ10" i="43"/>
  <c r="AI10" i="43"/>
  <c r="AH10" i="43"/>
  <c r="AN10" i="43" s="1"/>
  <c r="AO10" i="43" s="1"/>
  <c r="AG10" i="43"/>
  <c r="D28" i="42"/>
  <c r="D300" i="53"/>
  <c r="C28" i="42"/>
  <c r="E302" i="53"/>
  <c r="D16" i="48"/>
  <c r="D222" i="53"/>
  <c r="E224" i="53"/>
  <c r="C16" i="48"/>
  <c r="D24" i="22"/>
  <c r="D318" i="53"/>
  <c r="E320" i="53"/>
  <c r="C24" i="22"/>
  <c r="C20" i="47"/>
  <c r="D20" i="50"/>
  <c r="C20" i="50"/>
  <c r="D264" i="53"/>
  <c r="E266" i="53"/>
  <c r="C24" i="45"/>
  <c r="D330" i="53"/>
  <c r="E332" i="53"/>
  <c r="D24" i="45"/>
  <c r="C8" i="50"/>
  <c r="E116" i="53"/>
  <c r="D114" i="53"/>
  <c r="D8" i="50"/>
  <c r="D252" i="53"/>
  <c r="E254" i="53"/>
  <c r="D16" i="49"/>
  <c r="C16" i="49"/>
  <c r="C28" i="45"/>
  <c r="D28" i="45"/>
  <c r="D336" i="53"/>
  <c r="E338" i="53"/>
  <c r="E356" i="53"/>
  <c r="D24" i="44"/>
  <c r="C24" i="44"/>
  <c r="E188" i="53"/>
  <c r="D20" i="43"/>
  <c r="C20" i="43"/>
  <c r="D186" i="53"/>
  <c r="D8" i="22"/>
  <c r="AM20" i="22"/>
  <c r="AV21" i="22"/>
  <c r="AV20" i="22"/>
  <c r="AV17" i="22"/>
  <c r="AV16" i="22"/>
  <c r="AM25" i="22"/>
  <c r="AJ25" i="22"/>
  <c r="AH25" i="22"/>
  <c r="AI25" i="22"/>
  <c r="AG25" i="22"/>
  <c r="AJ20" i="22"/>
  <c r="AH20" i="22"/>
  <c r="AI20" i="22"/>
  <c r="AG20" i="22"/>
  <c r="AM15" i="22"/>
  <c r="AM10" i="22"/>
  <c r="AG10" i="22"/>
  <c r="AH10" i="22"/>
  <c r="AJ10" i="22"/>
  <c r="AI10" i="22"/>
  <c r="AI15" i="22"/>
  <c r="AJ15" i="22"/>
  <c r="AH15" i="22"/>
  <c r="AG15" i="22"/>
  <c r="L15" i="34"/>
  <c r="G15" i="34"/>
  <c r="V13" i="34" s="1"/>
  <c r="L8" i="34"/>
  <c r="G8" i="34"/>
  <c r="E16" i="34" l="1"/>
  <c r="E23" i="34"/>
  <c r="R7" i="34"/>
  <c r="T7" i="34"/>
  <c r="D144" i="53"/>
  <c r="C12" i="51"/>
  <c r="E146" i="53"/>
  <c r="D12" i="51"/>
  <c r="E296" i="53"/>
  <c r="D294" i="53"/>
  <c r="C24" i="42"/>
  <c r="D24" i="42"/>
  <c r="E362" i="53"/>
  <c r="D28" i="44"/>
  <c r="C28" i="44"/>
  <c r="D360" i="53"/>
  <c r="E242" i="53"/>
  <c r="D20" i="47"/>
  <c r="D240" i="53"/>
  <c r="D270" i="53"/>
  <c r="E272" i="53"/>
  <c r="D16" i="51"/>
  <c r="C16" i="51"/>
  <c r="C12" i="50"/>
  <c r="D12" i="50"/>
  <c r="E122" i="53"/>
  <c r="D120" i="53"/>
  <c r="D198" i="53"/>
  <c r="D16" i="46"/>
  <c r="C16" i="46"/>
  <c r="E200" i="53"/>
  <c r="E236" i="53"/>
  <c r="C20" i="48"/>
  <c r="D20" i="48"/>
  <c r="D234" i="53"/>
  <c r="E290" i="53"/>
  <c r="D288" i="53"/>
  <c r="C20" i="51"/>
  <c r="D20" i="51"/>
  <c r="D28" i="22"/>
  <c r="D324" i="53"/>
  <c r="E326" i="53"/>
  <c r="C28" i="22"/>
  <c r="E350" i="53"/>
  <c r="C28" i="46"/>
  <c r="D28" i="46"/>
  <c r="D348" i="53"/>
  <c r="D16" i="43"/>
  <c r="D180" i="53"/>
  <c r="C16" i="43"/>
  <c r="E182" i="53"/>
  <c r="E308" i="53"/>
  <c r="D306" i="53"/>
  <c r="C24" i="43"/>
  <c r="D24" i="43"/>
  <c r="D32" i="17"/>
  <c r="C32" i="17"/>
  <c r="C24" i="54"/>
  <c r="D24" i="54"/>
  <c r="D132" i="53"/>
  <c r="C8" i="52"/>
  <c r="D8" i="52"/>
  <c r="E134" i="53"/>
  <c r="C20" i="22"/>
  <c r="E170" i="53"/>
  <c r="D16" i="45"/>
  <c r="E206" i="53"/>
  <c r="D204" i="53"/>
  <c r="C16" i="45"/>
  <c r="E314" i="53"/>
  <c r="D312" i="53"/>
  <c r="D28" i="43"/>
  <c r="C28" i="43"/>
  <c r="D342" i="53"/>
  <c r="C24" i="46"/>
  <c r="D24" i="46"/>
  <c r="C68" i="17"/>
  <c r="D68" i="17"/>
  <c r="C15" i="34"/>
  <c r="D15" i="34"/>
  <c r="C8" i="22"/>
  <c r="D6" i="53"/>
  <c r="E8" i="53"/>
  <c r="D108" i="53"/>
  <c r="E110" i="53"/>
  <c r="D12" i="49"/>
  <c r="C12" i="49"/>
  <c r="C12" i="52"/>
  <c r="D138" i="53"/>
  <c r="E140" i="53"/>
  <c r="D12" i="52"/>
  <c r="E158" i="53"/>
  <c r="D16" i="42"/>
  <c r="C16" i="42"/>
  <c r="D156" i="53"/>
  <c r="D16" i="44"/>
  <c r="C16" i="44"/>
  <c r="D174" i="53"/>
  <c r="E176" i="53"/>
  <c r="D20" i="44"/>
  <c r="E194" i="53"/>
  <c r="D192" i="53"/>
  <c r="C20" i="44"/>
  <c r="D210" i="53"/>
  <c r="D20" i="45"/>
  <c r="E212" i="53"/>
  <c r="C20" i="45"/>
  <c r="E284" i="53"/>
  <c r="D20" i="52"/>
  <c r="D282" i="53"/>
  <c r="C20" i="52"/>
  <c r="C12" i="17"/>
  <c r="D12" i="17"/>
  <c r="D48" i="17"/>
  <c r="C48" i="17"/>
  <c r="D8" i="18"/>
  <c r="C8" i="18"/>
  <c r="C20" i="42"/>
  <c r="D20" i="42"/>
  <c r="E164" i="53"/>
  <c r="D162" i="53"/>
  <c r="E260" i="53"/>
  <c r="D20" i="49"/>
  <c r="C20" i="49"/>
  <c r="D258" i="53"/>
  <c r="D8" i="51"/>
  <c r="E128" i="53"/>
  <c r="D126" i="53"/>
  <c r="C8" i="51"/>
  <c r="E152" i="53"/>
  <c r="D150" i="53"/>
  <c r="C16" i="50"/>
  <c r="E248" i="53"/>
  <c r="D16" i="50"/>
  <c r="D246" i="53"/>
  <c r="D276" i="53"/>
  <c r="C16" i="52"/>
  <c r="E278" i="53"/>
  <c r="D16" i="52"/>
  <c r="C64" i="17"/>
  <c r="D64" i="17"/>
  <c r="D16" i="18"/>
  <c r="C16" i="18"/>
  <c r="C8" i="17"/>
  <c r="D8" i="17"/>
  <c r="D44" i="17"/>
  <c r="C44" i="17"/>
  <c r="C12" i="18"/>
  <c r="D12" i="18"/>
  <c r="D24" i="17"/>
  <c r="C24" i="17"/>
  <c r="C60" i="17"/>
  <c r="D60" i="17"/>
  <c r="C16" i="54"/>
  <c r="D16" i="54"/>
  <c r="C8" i="19"/>
  <c r="D8" i="19"/>
  <c r="D16" i="17"/>
  <c r="C16" i="17"/>
  <c r="C36" i="17"/>
  <c r="D36" i="17"/>
  <c r="D8" i="54"/>
  <c r="C8" i="54"/>
  <c r="C32" i="54"/>
  <c r="D32" i="54"/>
  <c r="D8" i="34"/>
  <c r="C8" i="34"/>
  <c r="D28" i="54"/>
  <c r="C28" i="54"/>
  <c r="C20" i="18"/>
  <c r="D20" i="18"/>
  <c r="C12" i="54"/>
  <c r="D12" i="54"/>
  <c r="C36" i="54"/>
  <c r="D36" i="54"/>
  <c r="D12" i="19"/>
  <c r="C12" i="19"/>
  <c r="D20" i="22"/>
  <c r="D168" i="53"/>
  <c r="C20" i="54"/>
  <c r="D20" i="54"/>
  <c r="D16" i="47"/>
  <c r="C16" i="47"/>
  <c r="E230" i="53"/>
  <c r="D228" i="53"/>
  <c r="C16" i="22"/>
  <c r="D16" i="22"/>
  <c r="E218" i="53"/>
  <c r="C20" i="46"/>
  <c r="D20" i="46"/>
  <c r="D216" i="53"/>
  <c r="C20" i="17"/>
  <c r="D20" i="17"/>
  <c r="C40" i="17"/>
  <c r="D40" i="17"/>
  <c r="C56" i="17"/>
  <c r="D56" i="17"/>
  <c r="D28" i="17"/>
  <c r="C28" i="17"/>
  <c r="C52" i="17"/>
  <c r="D52" i="17"/>
  <c r="AN10" i="51"/>
  <c r="AO10" i="51" s="1"/>
  <c r="AN15" i="48"/>
  <c r="AO15" i="48" s="1"/>
  <c r="AN25" i="44"/>
  <c r="AN15" i="22"/>
  <c r="AO15" i="22" s="1"/>
  <c r="AN20" i="46"/>
  <c r="AO20" i="46" s="1"/>
  <c r="AN25" i="51"/>
  <c r="AN25" i="50"/>
  <c r="AO25" i="50" s="1"/>
  <c r="AN20" i="49"/>
  <c r="AO20" i="49" s="1"/>
  <c r="AN15" i="47"/>
  <c r="AO15" i="47" s="1"/>
  <c r="AN20" i="47"/>
  <c r="AO20" i="47" s="1"/>
  <c r="AN10" i="47"/>
  <c r="AO10" i="47" s="1"/>
  <c r="AN20" i="48"/>
  <c r="AO20" i="48" s="1"/>
  <c r="AN10" i="48"/>
  <c r="AN25" i="46"/>
  <c r="AO25" i="46" s="1"/>
  <c r="AN10" i="46"/>
  <c r="AO10" i="46" s="1"/>
  <c r="AN15" i="44"/>
  <c r="AO15" i="44" s="1"/>
  <c r="AN15" i="43"/>
  <c r="AN20" i="22"/>
  <c r="AO20" i="22" s="1"/>
  <c r="AN20" i="42"/>
  <c r="AO20" i="42" s="1"/>
  <c r="AN25" i="22"/>
  <c r="AO25" i="22" s="1"/>
  <c r="AN25" i="49"/>
  <c r="AO25" i="49" s="1"/>
  <c r="AN10" i="49"/>
  <c r="AO10" i="49" s="1"/>
  <c r="AN10" i="52"/>
  <c r="AN15" i="52"/>
  <c r="AO15" i="52" s="1"/>
  <c r="AN20" i="50"/>
  <c r="AO20" i="50" s="1"/>
  <c r="AN10" i="50"/>
  <c r="AO10" i="50" s="1"/>
  <c r="AN15" i="50"/>
  <c r="AO15" i="50" s="1"/>
  <c r="AN25" i="47"/>
  <c r="AO25" i="47" s="1"/>
  <c r="AN20" i="45"/>
  <c r="AO20" i="45" s="1"/>
  <c r="AN15" i="45"/>
  <c r="AN15" i="46"/>
  <c r="AO15" i="46" s="1"/>
  <c r="AN15" i="42"/>
  <c r="AO15" i="42" s="1"/>
  <c r="AN10" i="22"/>
  <c r="AO10" i="22" s="1"/>
  <c r="D432" i="53"/>
  <c r="E434" i="53"/>
  <c r="C28" i="50"/>
  <c r="D28" i="50"/>
  <c r="E428" i="53"/>
  <c r="D426" i="53"/>
  <c r="C24" i="50"/>
  <c r="D24" i="50"/>
  <c r="D28" i="51"/>
  <c r="E422" i="53"/>
  <c r="D420" i="53"/>
  <c r="C28" i="51"/>
  <c r="E416" i="53"/>
  <c r="D414" i="53"/>
  <c r="C24" i="51"/>
  <c r="D24" i="51"/>
  <c r="D28" i="52"/>
  <c r="D408" i="53"/>
  <c r="C28" i="52"/>
  <c r="E410" i="53"/>
  <c r="E404" i="53"/>
  <c r="D24" i="52"/>
  <c r="C24" i="52"/>
  <c r="D402" i="53"/>
  <c r="C28" i="47"/>
  <c r="E398" i="53"/>
  <c r="D28" i="47"/>
  <c r="D396" i="53"/>
  <c r="D24" i="47"/>
  <c r="E392" i="53"/>
  <c r="C24" i="47"/>
  <c r="D390" i="53"/>
  <c r="D384" i="53"/>
  <c r="E386" i="53"/>
  <c r="D28" i="48"/>
  <c r="C28" i="48"/>
  <c r="E380" i="53"/>
  <c r="C24" i="48"/>
  <c r="D378" i="53"/>
  <c r="D24" i="48"/>
  <c r="E374" i="53"/>
  <c r="D372" i="53"/>
  <c r="D28" i="49"/>
  <c r="C28" i="49"/>
  <c r="D366" i="53"/>
  <c r="E368" i="53"/>
  <c r="D24" i="49"/>
  <c r="C24" i="49"/>
  <c r="D102" i="53"/>
  <c r="E104" i="53"/>
  <c r="D8" i="49"/>
  <c r="C8" i="49"/>
  <c r="D96" i="53"/>
  <c r="D12" i="47"/>
  <c r="E98" i="53"/>
  <c r="C12" i="47"/>
  <c r="D90" i="53"/>
  <c r="E92" i="53"/>
  <c r="D12" i="48"/>
  <c r="C12" i="48"/>
  <c r="C8" i="47"/>
  <c r="D8" i="47"/>
  <c r="D84" i="53"/>
  <c r="E86" i="53"/>
  <c r="E80" i="53"/>
  <c r="D8" i="48"/>
  <c r="C8" i="48"/>
  <c r="D78" i="53"/>
  <c r="D72" i="53"/>
  <c r="C12" i="46"/>
  <c r="E74" i="53"/>
  <c r="D12" i="46"/>
  <c r="D66" i="53"/>
  <c r="C12" i="45"/>
  <c r="E68" i="53"/>
  <c r="D12" i="45"/>
  <c r="C8" i="46"/>
  <c r="D60" i="53"/>
  <c r="E62" i="53"/>
  <c r="D8" i="46"/>
  <c r="E56" i="53"/>
  <c r="D8" i="45"/>
  <c r="D54" i="53"/>
  <c r="C8" i="45"/>
  <c r="E50" i="53"/>
  <c r="C12" i="44"/>
  <c r="D12" i="44"/>
  <c r="D48" i="53"/>
  <c r="D42" i="53"/>
  <c r="C12" i="43"/>
  <c r="D12" i="43"/>
  <c r="E44" i="53"/>
  <c r="E38" i="53"/>
  <c r="D8" i="43"/>
  <c r="D36" i="53"/>
  <c r="C8" i="43"/>
  <c r="E32" i="53"/>
  <c r="D30" i="53"/>
  <c r="C12" i="42"/>
  <c r="D12" i="42"/>
  <c r="D8" i="44"/>
  <c r="D24" i="53"/>
  <c r="C8" i="44"/>
  <c r="E26" i="53"/>
  <c r="E20" i="53"/>
  <c r="C8" i="42"/>
  <c r="D18" i="53"/>
  <c r="D8" i="42"/>
  <c r="D12" i="22"/>
  <c r="D12" i="53"/>
  <c r="E14" i="53"/>
  <c r="C12" i="22"/>
  <c r="AD15" i="50" l="1"/>
  <c r="AD25" i="49"/>
  <c r="AO25" i="44"/>
  <c r="AD25" i="44" s="1"/>
  <c r="AP6" i="44"/>
  <c r="AO25" i="51"/>
  <c r="AP6" i="51"/>
  <c r="AD10" i="49"/>
  <c r="AD20" i="47"/>
  <c r="AD25" i="47"/>
  <c r="AD10" i="47"/>
  <c r="AD15" i="47"/>
  <c r="AO10" i="48"/>
  <c r="AP6" i="48"/>
  <c r="AD15" i="46"/>
  <c r="AD20" i="46"/>
  <c r="AD25" i="46"/>
  <c r="AD10" i="46"/>
  <c r="AD10" i="44"/>
  <c r="AD20" i="44"/>
  <c r="AD15" i="44"/>
  <c r="AO15" i="43"/>
  <c r="AP6" i="43"/>
  <c r="AD25" i="42"/>
  <c r="AD15" i="42"/>
  <c r="AD20" i="42"/>
  <c r="AD10" i="42"/>
  <c r="AD15" i="49"/>
  <c r="AD20" i="49"/>
  <c r="AO10" i="52"/>
  <c r="AP6" i="52"/>
  <c r="AD10" i="50"/>
  <c r="AD20" i="50"/>
  <c r="AD25" i="50"/>
  <c r="AO15" i="45"/>
  <c r="AP6" i="45"/>
  <c r="AP6" i="42"/>
  <c r="AP6" i="50"/>
  <c r="AP6" i="47"/>
  <c r="AP6" i="49"/>
  <c r="AP6" i="46"/>
  <c r="AP6" i="22"/>
  <c r="AZ15" i="44" l="1"/>
  <c r="AZ20" i="44"/>
  <c r="AD20" i="51"/>
  <c r="AD15" i="51"/>
  <c r="AD10" i="51"/>
  <c r="AD25" i="51"/>
  <c r="AZ10" i="51"/>
  <c r="AZ20" i="51"/>
  <c r="AZ25" i="51"/>
  <c r="AZ15" i="51"/>
  <c r="AD20" i="48"/>
  <c r="AD15" i="48"/>
  <c r="AD25" i="48"/>
  <c r="AD10" i="48"/>
  <c r="AZ10" i="44"/>
  <c r="AZ25" i="44"/>
  <c r="AD25" i="43"/>
  <c r="AD10" i="43"/>
  <c r="AD20" i="43"/>
  <c r="AD15" i="43"/>
  <c r="AD20" i="52"/>
  <c r="AD25" i="52"/>
  <c r="AD15" i="52"/>
  <c r="AD10" i="52"/>
  <c r="AX10" i="51"/>
  <c r="AY10" i="51"/>
  <c r="AY20" i="51"/>
  <c r="AX20" i="51"/>
  <c r="AY25" i="51"/>
  <c r="AX25" i="51"/>
  <c r="AY15" i="51"/>
  <c r="AX15" i="51"/>
  <c r="AD15" i="45"/>
  <c r="AD10" i="45"/>
  <c r="AD20" i="45"/>
  <c r="AD25" i="45"/>
  <c r="AZ10" i="42"/>
  <c r="AZ15" i="42"/>
  <c r="AZ25" i="42"/>
  <c r="AZ20" i="42"/>
  <c r="AZ25" i="50"/>
  <c r="AZ20" i="50"/>
  <c r="AZ15" i="50"/>
  <c r="AZ10" i="50"/>
  <c r="AZ10" i="47"/>
  <c r="AZ25" i="47"/>
  <c r="AZ20" i="47"/>
  <c r="AZ15" i="47"/>
  <c r="AZ10" i="49"/>
  <c r="AZ15" i="49"/>
  <c r="AZ20" i="49"/>
  <c r="AZ25" i="49"/>
  <c r="AZ25" i="46"/>
  <c r="AZ15" i="46"/>
  <c r="AZ20" i="46"/>
  <c r="AZ10" i="46"/>
  <c r="AD15" i="22"/>
  <c r="AD10" i="22"/>
  <c r="AD20" i="22"/>
  <c r="AD25" i="22"/>
  <c r="AY15" i="44" l="1"/>
  <c r="AX15" i="44"/>
  <c r="AY20" i="44"/>
  <c r="AX20" i="44"/>
  <c r="AZ20" i="52"/>
  <c r="AZ15" i="52"/>
  <c r="AZ10" i="52"/>
  <c r="AZ25" i="52"/>
  <c r="AZ20" i="48"/>
  <c r="AZ15" i="48"/>
  <c r="AZ25" i="48"/>
  <c r="AZ10" i="48"/>
  <c r="AZ15" i="45"/>
  <c r="AZ25" i="45"/>
  <c r="AZ20" i="45"/>
  <c r="AZ10" i="45"/>
  <c r="AY10" i="44"/>
  <c r="AX10" i="44"/>
  <c r="AX25" i="44"/>
  <c r="AY25" i="44"/>
  <c r="AZ15" i="43"/>
  <c r="AZ10" i="43"/>
  <c r="AZ20" i="43"/>
  <c r="AZ25" i="43"/>
  <c r="AY10" i="49"/>
  <c r="AX10" i="49"/>
  <c r="AX15" i="49"/>
  <c r="AY15" i="49"/>
  <c r="AX20" i="49"/>
  <c r="AY20" i="49"/>
  <c r="AY25" i="49"/>
  <c r="AX25" i="49"/>
  <c r="AW10" i="51"/>
  <c r="AW15" i="51"/>
  <c r="AW25" i="51"/>
  <c r="AW20" i="51"/>
  <c r="AX6" i="51"/>
  <c r="AY25" i="50"/>
  <c r="AX25" i="50"/>
  <c r="AY20" i="50"/>
  <c r="AX20" i="50"/>
  <c r="AX15" i="50"/>
  <c r="AY15" i="50"/>
  <c r="AY10" i="50"/>
  <c r="AX10" i="50"/>
  <c r="AY25" i="47"/>
  <c r="AX25" i="47"/>
  <c r="AY20" i="47"/>
  <c r="AX20" i="47"/>
  <c r="AX10" i="47"/>
  <c r="AY10" i="47"/>
  <c r="AX15" i="47"/>
  <c r="AY15" i="47"/>
  <c r="AY25" i="46"/>
  <c r="AX25" i="46"/>
  <c r="AX15" i="46"/>
  <c r="AY15" i="46"/>
  <c r="AY20" i="46"/>
  <c r="AX20" i="46"/>
  <c r="AX10" i="46"/>
  <c r="AY10" i="46"/>
  <c r="AY10" i="42"/>
  <c r="AX10" i="42"/>
  <c r="AX15" i="42"/>
  <c r="AY15" i="42"/>
  <c r="AY25" i="42"/>
  <c r="AX25" i="42"/>
  <c r="AY20" i="42"/>
  <c r="AX20" i="42"/>
  <c r="AZ10" i="22"/>
  <c r="AZ20" i="22"/>
  <c r="AZ15" i="22"/>
  <c r="AZ25" i="22"/>
  <c r="AX20" i="52" l="1"/>
  <c r="AY20" i="52"/>
  <c r="AY15" i="52"/>
  <c r="AX15" i="52"/>
  <c r="AX10" i="52"/>
  <c r="AY10" i="52"/>
  <c r="AY25" i="52"/>
  <c r="AX25" i="52"/>
  <c r="AY20" i="48"/>
  <c r="AX20" i="48"/>
  <c r="AY15" i="48"/>
  <c r="AX15" i="48"/>
  <c r="AY25" i="48"/>
  <c r="AX25" i="48"/>
  <c r="AX10" i="48"/>
  <c r="AY10" i="48"/>
  <c r="AX6" i="44"/>
  <c r="AW25" i="44"/>
  <c r="AX15" i="45"/>
  <c r="AY15" i="45"/>
  <c r="AY25" i="45"/>
  <c r="AX25" i="45"/>
  <c r="AX20" i="45"/>
  <c r="AY20" i="45"/>
  <c r="AY10" i="45"/>
  <c r="AX10" i="45"/>
  <c r="AW15" i="44"/>
  <c r="AW10" i="44"/>
  <c r="AW20" i="44"/>
  <c r="AY15" i="43"/>
  <c r="AX15" i="43"/>
  <c r="AX10" i="43"/>
  <c r="AY10" i="43"/>
  <c r="AY20" i="43"/>
  <c r="AX20" i="43"/>
  <c r="AY25" i="43"/>
  <c r="AX25" i="43"/>
  <c r="AW10" i="49"/>
  <c r="AX6" i="49"/>
  <c r="AW20" i="49"/>
  <c r="AW25" i="49"/>
  <c r="AW15" i="49"/>
  <c r="BD15" i="51"/>
  <c r="BD10" i="51"/>
  <c r="BD20" i="51"/>
  <c r="BD25" i="51"/>
  <c r="AW15" i="50"/>
  <c r="AW25" i="50"/>
  <c r="AW20" i="50"/>
  <c r="AW10" i="50"/>
  <c r="AX6" i="50"/>
  <c r="AW15" i="47"/>
  <c r="AX6" i="47"/>
  <c r="AW10" i="47"/>
  <c r="AW25" i="47"/>
  <c r="AW20" i="47"/>
  <c r="AW10" i="46"/>
  <c r="AX6" i="46"/>
  <c r="AW25" i="46"/>
  <c r="AW20" i="46"/>
  <c r="AW15" i="46"/>
  <c r="AW10" i="42"/>
  <c r="AW25" i="42"/>
  <c r="AX6" i="42"/>
  <c r="AW15" i="42"/>
  <c r="AW20" i="42"/>
  <c r="AX10" i="22"/>
  <c r="AY10" i="22"/>
  <c r="AY20" i="22"/>
  <c r="AX20" i="22"/>
  <c r="AX15" i="22"/>
  <c r="AY15" i="22"/>
  <c r="AY25" i="22"/>
  <c r="AX25" i="22"/>
  <c r="AW25" i="52" l="1"/>
  <c r="AX6" i="52"/>
  <c r="AW10" i="52"/>
  <c r="AW20" i="52"/>
  <c r="AW15" i="52"/>
  <c r="AX6" i="48"/>
  <c r="AW10" i="48"/>
  <c r="AW25" i="48"/>
  <c r="AW20" i="48"/>
  <c r="AW15" i="48"/>
  <c r="AW25" i="45"/>
  <c r="AW15" i="45"/>
  <c r="AW20" i="45"/>
  <c r="AW10" i="45"/>
  <c r="AX6" i="45"/>
  <c r="BD20" i="44"/>
  <c r="BD15" i="44"/>
  <c r="BD10" i="44"/>
  <c r="BD25" i="44"/>
  <c r="AW25" i="43"/>
  <c r="AW10" i="43"/>
  <c r="AW15" i="43"/>
  <c r="AX6" i="43"/>
  <c r="AW20" i="43"/>
  <c r="BD20" i="49"/>
  <c r="BD10" i="49"/>
  <c r="BD25" i="49"/>
  <c r="BD15" i="49"/>
  <c r="BB15" i="51"/>
  <c r="BC15" i="51"/>
  <c r="BC10" i="51"/>
  <c r="BB10" i="51"/>
  <c r="BC20" i="51"/>
  <c r="BB20" i="51"/>
  <c r="BB25" i="51"/>
  <c r="BC25" i="51"/>
  <c r="BD25" i="50"/>
  <c r="BD20" i="50"/>
  <c r="BD15" i="50"/>
  <c r="BD10" i="50"/>
  <c r="BD20" i="47"/>
  <c r="BD10" i="47"/>
  <c r="BD25" i="47"/>
  <c r="BD15" i="47"/>
  <c r="BD25" i="46"/>
  <c r="BD15" i="46"/>
  <c r="BD20" i="46"/>
  <c r="BD10" i="46"/>
  <c r="BD25" i="42"/>
  <c r="BD20" i="42"/>
  <c r="BD10" i="42"/>
  <c r="BD15" i="42"/>
  <c r="AW25" i="22"/>
  <c r="AX6" i="22"/>
  <c r="AW10" i="22"/>
  <c r="AW20" i="22"/>
  <c r="AW15" i="22"/>
  <c r="BD20" i="52" l="1"/>
  <c r="BD15" i="52"/>
  <c r="BD10" i="52"/>
  <c r="BD25" i="52"/>
  <c r="BD25" i="48"/>
  <c r="BD20" i="48"/>
  <c r="BD10" i="48"/>
  <c r="BD15" i="48"/>
  <c r="BD15" i="45"/>
  <c r="BD10" i="45"/>
  <c r="BD25" i="45"/>
  <c r="BD20" i="45"/>
  <c r="BB20" i="44"/>
  <c r="BC20" i="44"/>
  <c r="BB15" i="44"/>
  <c r="BC15" i="44"/>
  <c r="BC10" i="44"/>
  <c r="BB10" i="44"/>
  <c r="BB25" i="44"/>
  <c r="BC25" i="44"/>
  <c r="BD10" i="43"/>
  <c r="BD20" i="43"/>
  <c r="BD25" i="43"/>
  <c r="BD15" i="43"/>
  <c r="BC20" i="49"/>
  <c r="BB20" i="49"/>
  <c r="BB10" i="49"/>
  <c r="BC10" i="49"/>
  <c r="BC25" i="49"/>
  <c r="BB25" i="49"/>
  <c r="BB15" i="49"/>
  <c r="BC15" i="49"/>
  <c r="BA20" i="51"/>
  <c r="BA25" i="51"/>
  <c r="BB6" i="51"/>
  <c r="BA10" i="51"/>
  <c r="BA15" i="51"/>
  <c r="BB25" i="50"/>
  <c r="BC25" i="50"/>
  <c r="BC20" i="50"/>
  <c r="BB20" i="50"/>
  <c r="BC15" i="50"/>
  <c r="BB15" i="50"/>
  <c r="BC10" i="50"/>
  <c r="BB10" i="50"/>
  <c r="BC20" i="47"/>
  <c r="BB20" i="47"/>
  <c r="BB10" i="47"/>
  <c r="BC10" i="47"/>
  <c r="BB25" i="47"/>
  <c r="BC25" i="47"/>
  <c r="BB15" i="47"/>
  <c r="BC15" i="47"/>
  <c r="BB25" i="46"/>
  <c r="BC25" i="46"/>
  <c r="BB10" i="46"/>
  <c r="BC10" i="46"/>
  <c r="BC15" i="46"/>
  <c r="BB15" i="46"/>
  <c r="BC20" i="46"/>
  <c r="BB20" i="46"/>
  <c r="BC25" i="42"/>
  <c r="BB25" i="42"/>
  <c r="BB20" i="42"/>
  <c r="BC20" i="42"/>
  <c r="BC10" i="42"/>
  <c r="BB10" i="42"/>
  <c r="BC15" i="42"/>
  <c r="BB15" i="42"/>
  <c r="BD25" i="22"/>
  <c r="BD15" i="22"/>
  <c r="BD10" i="22"/>
  <c r="BD20" i="22"/>
  <c r="L12" i="19"/>
  <c r="G12" i="19"/>
  <c r="L8" i="19"/>
  <c r="G8" i="19"/>
  <c r="L20" i="18"/>
  <c r="G20" i="18"/>
  <c r="L16" i="18"/>
  <c r="G16" i="18"/>
  <c r="L12" i="18"/>
  <c r="G12" i="18"/>
  <c r="L8" i="18"/>
  <c r="G8" i="18"/>
  <c r="L36" i="17"/>
  <c r="G36" i="17"/>
  <c r="L32" i="17"/>
  <c r="G32" i="17"/>
  <c r="L28" i="17"/>
  <c r="G28" i="17"/>
  <c r="L24" i="17"/>
  <c r="G24" i="17"/>
  <c r="L20" i="17"/>
  <c r="G20" i="17"/>
  <c r="L16" i="17"/>
  <c r="G16" i="17"/>
  <c r="L12" i="17"/>
  <c r="G12" i="17"/>
  <c r="L8" i="17"/>
  <c r="G8" i="17"/>
  <c r="BC20" i="52" l="1"/>
  <c r="BB20" i="52"/>
  <c r="BC15" i="52"/>
  <c r="BB15" i="52"/>
  <c r="BC10" i="52"/>
  <c r="BB10" i="52"/>
  <c r="BC25" i="52"/>
  <c r="BB25" i="52"/>
  <c r="BC25" i="48"/>
  <c r="BB25" i="48"/>
  <c r="BB20" i="48"/>
  <c r="BC20" i="48"/>
  <c r="BC10" i="48"/>
  <c r="BB10" i="48"/>
  <c r="BB15" i="48"/>
  <c r="BC15" i="48"/>
  <c r="BA20" i="44"/>
  <c r="BC15" i="45"/>
  <c r="BB15" i="45"/>
  <c r="BB10" i="45"/>
  <c r="BC10" i="45"/>
  <c r="BC25" i="45"/>
  <c r="BB25" i="45"/>
  <c r="BC20" i="45"/>
  <c r="BB20" i="45"/>
  <c r="BB6" i="44"/>
  <c r="BA25" i="44"/>
  <c r="BA15" i="44"/>
  <c r="BA10" i="44"/>
  <c r="BC10" i="43"/>
  <c r="BB10" i="43"/>
  <c r="BC20" i="43"/>
  <c r="BB20" i="43"/>
  <c r="BC25" i="43"/>
  <c r="BB25" i="43"/>
  <c r="BC15" i="43"/>
  <c r="BB15" i="43"/>
  <c r="BA15" i="49"/>
  <c r="BA25" i="49"/>
  <c r="BA20" i="49"/>
  <c r="BA10" i="49"/>
  <c r="BB6" i="49"/>
  <c r="BE25" i="51"/>
  <c r="BE15" i="51"/>
  <c r="BE10" i="51"/>
  <c r="BE20" i="51"/>
  <c r="BB6" i="50"/>
  <c r="BA10" i="50"/>
  <c r="BA20" i="50"/>
  <c r="BA25" i="50"/>
  <c r="BA15" i="50"/>
  <c r="BA15" i="47"/>
  <c r="BA20" i="47"/>
  <c r="BA25" i="47"/>
  <c r="BA10" i="47"/>
  <c r="BB6" i="47"/>
  <c r="BA20" i="46"/>
  <c r="BA15" i="46"/>
  <c r="BB6" i="46"/>
  <c r="BA25" i="46"/>
  <c r="BA10" i="46"/>
  <c r="BA25" i="42"/>
  <c r="BA20" i="42"/>
  <c r="BB6" i="42"/>
  <c r="BE15" i="42" s="1"/>
  <c r="BA10" i="42"/>
  <c r="BA15" i="42"/>
  <c r="BB25" i="22"/>
  <c r="BC25" i="22"/>
  <c r="BC15" i="22"/>
  <c r="BB15" i="22"/>
  <c r="BB10" i="22"/>
  <c r="BC10" i="22"/>
  <c r="BB20" i="22"/>
  <c r="BC20" i="22"/>
  <c r="BA20" i="52" l="1"/>
  <c r="BA15" i="52"/>
  <c r="BA25" i="52"/>
  <c r="BB6" i="52"/>
  <c r="BA10" i="52"/>
  <c r="BA15" i="48"/>
  <c r="BA20" i="45"/>
  <c r="BA20" i="48"/>
  <c r="BA25" i="48"/>
  <c r="BA10" i="48"/>
  <c r="BB6" i="48"/>
  <c r="BA25" i="45"/>
  <c r="BE15" i="44"/>
  <c r="BE10" i="44"/>
  <c r="BE25" i="44"/>
  <c r="BE20" i="44"/>
  <c r="BA15" i="45"/>
  <c r="BA10" i="45"/>
  <c r="BB6" i="45"/>
  <c r="BA20" i="43"/>
  <c r="BB6" i="43"/>
  <c r="BA10" i="43"/>
  <c r="BA25" i="43"/>
  <c r="BA15" i="43"/>
  <c r="BE20" i="49"/>
  <c r="BE25" i="49"/>
  <c r="BE15" i="49"/>
  <c r="BE10" i="49"/>
  <c r="BG25" i="51"/>
  <c r="BF25" i="51"/>
  <c r="AP25" i="51" s="1"/>
  <c r="BG15" i="51"/>
  <c r="BF15" i="51"/>
  <c r="AP15" i="51" s="1"/>
  <c r="BF10" i="51"/>
  <c r="AP10" i="51" s="1"/>
  <c r="BG10" i="51"/>
  <c r="BG20" i="51"/>
  <c r="BF20" i="51"/>
  <c r="AP20" i="51" s="1"/>
  <c r="BE15" i="50"/>
  <c r="BG15" i="50" s="1"/>
  <c r="BE25" i="50"/>
  <c r="BG25" i="50" s="1"/>
  <c r="BE20" i="50"/>
  <c r="BE10" i="50"/>
  <c r="BE10" i="47"/>
  <c r="BE25" i="47"/>
  <c r="BE20" i="47"/>
  <c r="BE15" i="47"/>
  <c r="BE15" i="46"/>
  <c r="BG15" i="46" s="1"/>
  <c r="BE20" i="46"/>
  <c r="BG20" i="46" s="1"/>
  <c r="BE25" i="46"/>
  <c r="BE10" i="46"/>
  <c r="BE20" i="42"/>
  <c r="BG20" i="42" s="1"/>
  <c r="BE25" i="42"/>
  <c r="BE10" i="42"/>
  <c r="BG15" i="42"/>
  <c r="BA20" i="22"/>
  <c r="BA25" i="22"/>
  <c r="BB6" i="22"/>
  <c r="BA10" i="22"/>
  <c r="BA15" i="22"/>
  <c r="BE15" i="52" l="1"/>
  <c r="BE25" i="52"/>
  <c r="BE20" i="52"/>
  <c r="BE10" i="52"/>
  <c r="BE15" i="48"/>
  <c r="BE10" i="48"/>
  <c r="BE25" i="48"/>
  <c r="BE20" i="48"/>
  <c r="BE25" i="45"/>
  <c r="BE20" i="45"/>
  <c r="BE10" i="45"/>
  <c r="BE15" i="45"/>
  <c r="BG15" i="44"/>
  <c r="BF15" i="44"/>
  <c r="AP15" i="44" s="1"/>
  <c r="BF10" i="44"/>
  <c r="AP10" i="44" s="1"/>
  <c r="BG10" i="44"/>
  <c r="BF25" i="44"/>
  <c r="AP25" i="44" s="1"/>
  <c r="BG25" i="44"/>
  <c r="BG20" i="44"/>
  <c r="BF20" i="44"/>
  <c r="AP20" i="44" s="1"/>
  <c r="BE20" i="43"/>
  <c r="BE15" i="43"/>
  <c r="BE10" i="43"/>
  <c r="BE25" i="43"/>
  <c r="AE20" i="51"/>
  <c r="BH20" i="51"/>
  <c r="AE10" i="51"/>
  <c r="AE15" i="51"/>
  <c r="BH25" i="51"/>
  <c r="AE25" i="51"/>
  <c r="BF20" i="49"/>
  <c r="AP20" i="49" s="1"/>
  <c r="BG20" i="49"/>
  <c r="BG25" i="49"/>
  <c r="BF25" i="49"/>
  <c r="AP25" i="49" s="1"/>
  <c r="BG15" i="49"/>
  <c r="BF15" i="49"/>
  <c r="AP15" i="49" s="1"/>
  <c r="BG10" i="49"/>
  <c r="BF10" i="49"/>
  <c r="AP10" i="49" s="1"/>
  <c r="BH15" i="51"/>
  <c r="BH10" i="51"/>
  <c r="BF20" i="50"/>
  <c r="AP20" i="50" s="1"/>
  <c r="BG20" i="50"/>
  <c r="BF25" i="50"/>
  <c r="AP25" i="50" s="1"/>
  <c r="BG10" i="50"/>
  <c r="BF10" i="50"/>
  <c r="AP10" i="50" s="1"/>
  <c r="BF15" i="50"/>
  <c r="AP15" i="50" s="1"/>
  <c r="BF15" i="42"/>
  <c r="AP15" i="42" s="1"/>
  <c r="BG10" i="47"/>
  <c r="BF10" i="47"/>
  <c r="AP10" i="47" s="1"/>
  <c r="BF25" i="47"/>
  <c r="AP25" i="47" s="1"/>
  <c r="BG25" i="47"/>
  <c r="BG20" i="47"/>
  <c r="BF20" i="47"/>
  <c r="AP20" i="47" s="1"/>
  <c r="BG15" i="47"/>
  <c r="BF15" i="47"/>
  <c r="AP15" i="47" s="1"/>
  <c r="BF25" i="46"/>
  <c r="AP25" i="46" s="1"/>
  <c r="BG25" i="46"/>
  <c r="BF15" i="46"/>
  <c r="AP15" i="46" s="1"/>
  <c r="BG10" i="46"/>
  <c r="BF10" i="46"/>
  <c r="AP10" i="46" s="1"/>
  <c r="BF20" i="46"/>
  <c r="AP20" i="46" s="1"/>
  <c r="BF20" i="42"/>
  <c r="AP20" i="42" s="1"/>
  <c r="BG25" i="42"/>
  <c r="BF25" i="42"/>
  <c r="AP25" i="42" s="1"/>
  <c r="BG10" i="42"/>
  <c r="BF10" i="42"/>
  <c r="AP10" i="42" s="1"/>
  <c r="BE15" i="22"/>
  <c r="BE20" i="22"/>
  <c r="BE25" i="22"/>
  <c r="BE10" i="22"/>
  <c r="BF15" i="52" l="1"/>
  <c r="AP15" i="52" s="1"/>
  <c r="BG15" i="52"/>
  <c r="BG25" i="52"/>
  <c r="BF25" i="52"/>
  <c r="AP25" i="52" s="1"/>
  <c r="BF20" i="52"/>
  <c r="AP20" i="52" s="1"/>
  <c r="BG20" i="52"/>
  <c r="BG10" i="52"/>
  <c r="BH10" i="52" s="1"/>
  <c r="BF10" i="52"/>
  <c r="AP10" i="52" s="1"/>
  <c r="BF15" i="48"/>
  <c r="AP15" i="48" s="1"/>
  <c r="BG15" i="48"/>
  <c r="BF10" i="48"/>
  <c r="AP10" i="48" s="1"/>
  <c r="BG10" i="48"/>
  <c r="BG25" i="48"/>
  <c r="BF25" i="48"/>
  <c r="AP25" i="48" s="1"/>
  <c r="BG20" i="48"/>
  <c r="BF20" i="48"/>
  <c r="AP20" i="48" s="1"/>
  <c r="BH15" i="44"/>
  <c r="BH25" i="44"/>
  <c r="BH20" i="44"/>
  <c r="AE20" i="44"/>
  <c r="BG25" i="45"/>
  <c r="BF25" i="45"/>
  <c r="AP25" i="45" s="1"/>
  <c r="BG20" i="45"/>
  <c r="BF20" i="45"/>
  <c r="AP20" i="45" s="1"/>
  <c r="BF10" i="45"/>
  <c r="AP10" i="45" s="1"/>
  <c r="BG10" i="45"/>
  <c r="BG15" i="45"/>
  <c r="BF15" i="45"/>
  <c r="AP15" i="45" s="1"/>
  <c r="BH10" i="44"/>
  <c r="AE25" i="44"/>
  <c r="AE15" i="44"/>
  <c r="AE10" i="44"/>
  <c r="BG20" i="43"/>
  <c r="BF20" i="43"/>
  <c r="AP20" i="43" s="1"/>
  <c r="BG15" i="43"/>
  <c r="BF15" i="43"/>
  <c r="AP15" i="43" s="1"/>
  <c r="BG10" i="43"/>
  <c r="BF10" i="43"/>
  <c r="AP10" i="43" s="1"/>
  <c r="BF25" i="43"/>
  <c r="AP25" i="43" s="1"/>
  <c r="BG25" i="43"/>
  <c r="W15" i="51"/>
  <c r="X15" i="51"/>
  <c r="AA25" i="51"/>
  <c r="X20" i="51"/>
  <c r="R15" i="51"/>
  <c r="R25" i="51"/>
  <c r="AA15" i="51"/>
  <c r="V15" i="51"/>
  <c r="Y20" i="51"/>
  <c r="Z20" i="51"/>
  <c r="AD60" i="17" s="1"/>
  <c r="W25" i="51"/>
  <c r="R10" i="51"/>
  <c r="BH25" i="49"/>
  <c r="BH20" i="49"/>
  <c r="AE15" i="49"/>
  <c r="Y10" i="51"/>
  <c r="AE25" i="49"/>
  <c r="BH15" i="49"/>
  <c r="AE20" i="49"/>
  <c r="Y15" i="51"/>
  <c r="R20" i="51"/>
  <c r="V20" i="51"/>
  <c r="V25" i="51"/>
  <c r="AA20" i="51"/>
  <c r="Z15" i="51"/>
  <c r="W20" i="51"/>
  <c r="X25" i="51"/>
  <c r="Z25" i="51"/>
  <c r="Y25" i="51"/>
  <c r="AE10" i="49"/>
  <c r="V10" i="51"/>
  <c r="W10" i="51"/>
  <c r="X10" i="51"/>
  <c r="Z10" i="51"/>
  <c r="AA10" i="51"/>
  <c r="BH31" i="51"/>
  <c r="R31" i="51" s="1"/>
  <c r="BH10" i="49"/>
  <c r="AE15" i="50"/>
  <c r="BH20" i="50"/>
  <c r="BH10" i="50"/>
  <c r="BH25" i="50"/>
  <c r="BH15" i="50"/>
  <c r="AE10" i="50"/>
  <c r="AE25" i="50"/>
  <c r="AE20" i="50"/>
  <c r="BH20" i="46"/>
  <c r="BH20" i="47"/>
  <c r="AE20" i="47"/>
  <c r="AE20" i="46"/>
  <c r="BH25" i="47"/>
  <c r="BH15" i="47"/>
  <c r="BH10" i="47"/>
  <c r="AE10" i="47"/>
  <c r="AE15" i="47"/>
  <c r="AE25" i="47"/>
  <c r="AE25" i="46"/>
  <c r="BH25" i="46"/>
  <c r="AE15" i="46"/>
  <c r="AE10" i="46"/>
  <c r="BH15" i="46"/>
  <c r="BH10" i="46"/>
  <c r="BH10" i="42"/>
  <c r="BH25" i="42"/>
  <c r="AE20" i="42"/>
  <c r="AE15" i="42"/>
  <c r="AE25" i="42"/>
  <c r="AE10" i="42"/>
  <c r="BH20" i="42"/>
  <c r="BH15" i="42"/>
  <c r="R14" i="34"/>
  <c r="BG15" i="22"/>
  <c r="BF15" i="22"/>
  <c r="AP15" i="22" s="1"/>
  <c r="BF20" i="22"/>
  <c r="AP20" i="22" s="1"/>
  <c r="BG20" i="22"/>
  <c r="BF25" i="22"/>
  <c r="AP25" i="22" s="1"/>
  <c r="BG25" i="22"/>
  <c r="BF10" i="22"/>
  <c r="AP10" i="22" s="1"/>
  <c r="BG10" i="22"/>
  <c r="BH15" i="52" l="1"/>
  <c r="AE20" i="52"/>
  <c r="BH20" i="52"/>
  <c r="AE10" i="52"/>
  <c r="AE15" i="52"/>
  <c r="BH25" i="52"/>
  <c r="AE25" i="52"/>
  <c r="BH20" i="45"/>
  <c r="BH31" i="44"/>
  <c r="R31" i="44" s="1"/>
  <c r="BH25" i="48"/>
  <c r="AE25" i="48"/>
  <c r="R20" i="44"/>
  <c r="AE25" i="43"/>
  <c r="Z10" i="44"/>
  <c r="Y10" i="44"/>
  <c r="W10" i="44"/>
  <c r="AE15" i="48"/>
  <c r="AE10" i="48"/>
  <c r="BH10" i="48"/>
  <c r="BH20" i="48"/>
  <c r="AE20" i="48"/>
  <c r="AE20" i="45"/>
  <c r="AE10" i="45"/>
  <c r="BH25" i="45"/>
  <c r="AE25" i="45"/>
  <c r="BH10" i="45"/>
  <c r="BH15" i="45"/>
  <c r="AE15" i="45"/>
  <c r="BH15" i="48"/>
  <c r="R10" i="44"/>
  <c r="Z15" i="44"/>
  <c r="AA10" i="44"/>
  <c r="V20" i="44"/>
  <c r="Y25" i="44"/>
  <c r="BH25" i="43"/>
  <c r="W20" i="44"/>
  <c r="AA20" i="44"/>
  <c r="W25" i="44"/>
  <c r="Z25" i="44"/>
  <c r="Y20" i="44"/>
  <c r="X20" i="44"/>
  <c r="X25" i="44"/>
  <c r="X15" i="44"/>
  <c r="V10" i="44"/>
  <c r="Y15" i="44"/>
  <c r="X10" i="44"/>
  <c r="AA15" i="44"/>
  <c r="V15" i="44"/>
  <c r="W15" i="44"/>
  <c r="R15" i="44"/>
  <c r="BH31" i="50"/>
  <c r="R31" i="50" s="1"/>
  <c r="AA25" i="44"/>
  <c r="Z20" i="44"/>
  <c r="V25" i="44"/>
  <c r="R25" i="44"/>
  <c r="AB10" i="51"/>
  <c r="BH20" i="43"/>
  <c r="BH10" i="43"/>
  <c r="AE20" i="43"/>
  <c r="BH15" i="43"/>
  <c r="AE15" i="43"/>
  <c r="AE10" i="43"/>
  <c r="AC15" i="51"/>
  <c r="BH31" i="49"/>
  <c r="R31" i="49" s="1"/>
  <c r="AC20" i="51"/>
  <c r="AB60" i="17" s="1"/>
  <c r="AB25" i="51"/>
  <c r="AC10" i="51"/>
  <c r="AB20" i="51"/>
  <c r="AC60" i="17" s="1"/>
  <c r="AB15" i="51"/>
  <c r="AC25" i="51"/>
  <c r="V15" i="49"/>
  <c r="X15" i="49"/>
  <c r="X20" i="49"/>
  <c r="V25" i="49"/>
  <c r="W25" i="49"/>
  <c r="Z25" i="49"/>
  <c r="R25" i="49"/>
  <c r="Y20" i="49"/>
  <c r="AA20" i="49"/>
  <c r="Y25" i="49"/>
  <c r="AA25" i="49"/>
  <c r="R20" i="49"/>
  <c r="X25" i="49"/>
  <c r="Z20" i="49"/>
  <c r="V20" i="49"/>
  <c r="W20" i="49"/>
  <c r="Y10" i="49"/>
  <c r="X10" i="49"/>
  <c r="AA10" i="49"/>
  <c r="W10" i="49"/>
  <c r="R10" i="49"/>
  <c r="Z10" i="49"/>
  <c r="V10" i="49"/>
  <c r="R15" i="49"/>
  <c r="AA15" i="49"/>
  <c r="W15" i="49"/>
  <c r="Y15" i="49"/>
  <c r="Z15" i="49"/>
  <c r="AQ20" i="51"/>
  <c r="AQ15" i="51"/>
  <c r="J85" i="35" s="1"/>
  <c r="F52" i="17" s="1"/>
  <c r="AQ25" i="51"/>
  <c r="AQ10" i="51"/>
  <c r="J89" i="35" s="1"/>
  <c r="F68" i="17" s="1"/>
  <c r="R10" i="50"/>
  <c r="V10" i="50"/>
  <c r="W10" i="50"/>
  <c r="X10" i="50"/>
  <c r="Y10" i="50"/>
  <c r="Z10" i="50"/>
  <c r="AA10" i="50"/>
  <c r="W25" i="50"/>
  <c r="V25" i="50"/>
  <c r="R15" i="50"/>
  <c r="AA15" i="50"/>
  <c r="Y15" i="50"/>
  <c r="V15" i="50"/>
  <c r="X20" i="50"/>
  <c r="R20" i="50"/>
  <c r="AA20" i="50"/>
  <c r="R25" i="50"/>
  <c r="X25" i="50"/>
  <c r="AA25" i="50"/>
  <c r="V20" i="50"/>
  <c r="X15" i="50"/>
  <c r="Y20" i="50"/>
  <c r="Z15" i="50"/>
  <c r="Z20" i="50"/>
  <c r="W15" i="50"/>
  <c r="Z25" i="50"/>
  <c r="W20" i="50"/>
  <c r="Y25" i="50"/>
  <c r="BH31" i="47"/>
  <c r="R31" i="47" s="1"/>
  <c r="Z25" i="47"/>
  <c r="AA20" i="47"/>
  <c r="W25" i="47"/>
  <c r="W20" i="47"/>
  <c r="Y20" i="47"/>
  <c r="V25" i="47"/>
  <c r="R10" i="47"/>
  <c r="AA25" i="47"/>
  <c r="R15" i="47"/>
  <c r="X20" i="47"/>
  <c r="Y25" i="47"/>
  <c r="R25" i="47"/>
  <c r="V15" i="47"/>
  <c r="X25" i="47"/>
  <c r="AA15" i="47"/>
  <c r="W15" i="47"/>
  <c r="Z15" i="47"/>
  <c r="Y10" i="47"/>
  <c r="Z20" i="47"/>
  <c r="R20" i="47"/>
  <c r="V20" i="47"/>
  <c r="X15" i="47"/>
  <c r="AA10" i="47"/>
  <c r="Z10" i="47"/>
  <c r="Y15" i="47"/>
  <c r="V10" i="47"/>
  <c r="W10" i="47"/>
  <c r="X10" i="47"/>
  <c r="BH31" i="46"/>
  <c r="R31" i="46" s="1"/>
  <c r="W15" i="46"/>
  <c r="Y20" i="46"/>
  <c r="R25" i="46"/>
  <c r="Y15" i="46"/>
  <c r="W25" i="46"/>
  <c r="Y25" i="46"/>
  <c r="Z25" i="46"/>
  <c r="AA25" i="46"/>
  <c r="V10" i="46"/>
  <c r="W10" i="46"/>
  <c r="X10" i="46"/>
  <c r="Y10" i="46"/>
  <c r="Z10" i="46"/>
  <c r="AA10" i="46"/>
  <c r="X25" i="46"/>
  <c r="V15" i="46"/>
  <c r="W20" i="46"/>
  <c r="AA20" i="46"/>
  <c r="X15" i="46"/>
  <c r="R10" i="46"/>
  <c r="R20" i="46"/>
  <c r="X20" i="46"/>
  <c r="Z15" i="46"/>
  <c r="Z20" i="46"/>
  <c r="AD35" i="17" s="1"/>
  <c r="AA15" i="46"/>
  <c r="V25" i="46"/>
  <c r="V20" i="46"/>
  <c r="R15" i="46"/>
  <c r="BH31" i="42"/>
  <c r="R31" i="42" s="1"/>
  <c r="Y15" i="42"/>
  <c r="X15" i="42"/>
  <c r="Z20" i="42"/>
  <c r="AD15" i="17" s="1"/>
  <c r="W25" i="42"/>
  <c r="Y20" i="42"/>
  <c r="AA15" i="42"/>
  <c r="X20" i="42"/>
  <c r="R25" i="42"/>
  <c r="AA25" i="42"/>
  <c r="V25" i="42"/>
  <c r="Y25" i="42"/>
  <c r="R20" i="42"/>
  <c r="Z25" i="42"/>
  <c r="W20" i="42"/>
  <c r="V15" i="42"/>
  <c r="V20" i="42"/>
  <c r="AA20" i="42"/>
  <c r="X25" i="42"/>
  <c r="R15" i="42"/>
  <c r="W15" i="42"/>
  <c r="W10" i="42"/>
  <c r="AA10" i="42"/>
  <c r="R10" i="42"/>
  <c r="Z10" i="42"/>
  <c r="X10" i="42"/>
  <c r="Y10" i="42"/>
  <c r="V10" i="42"/>
  <c r="Z15" i="42"/>
  <c r="BH20" i="22"/>
  <c r="AE20" i="22"/>
  <c r="AE25" i="22"/>
  <c r="BH25" i="22"/>
  <c r="AE10" i="22"/>
  <c r="BH10" i="22"/>
  <c r="BH15" i="22"/>
  <c r="AE15" i="22"/>
  <c r="E68" i="17" l="1"/>
  <c r="R68" i="17"/>
  <c r="K97" i="35" s="1"/>
  <c r="N36" i="54" s="1"/>
  <c r="O36" i="54" s="1"/>
  <c r="E52" i="17"/>
  <c r="R52" i="17"/>
  <c r="J94" i="35" s="1"/>
  <c r="F24" i="54" s="1"/>
  <c r="E24" i="54" s="1"/>
  <c r="AB10" i="47"/>
  <c r="AD15" i="35"/>
  <c r="AA60" i="17"/>
  <c r="AE60" i="17" s="1"/>
  <c r="BH31" i="52"/>
  <c r="R31" i="52" s="1"/>
  <c r="AA25" i="52"/>
  <c r="X15" i="52"/>
  <c r="AA20" i="52"/>
  <c r="V15" i="52"/>
  <c r="Z15" i="52"/>
  <c r="Y15" i="52"/>
  <c r="V10" i="52"/>
  <c r="R20" i="52"/>
  <c r="W10" i="52"/>
  <c r="Z10" i="52"/>
  <c r="W15" i="52"/>
  <c r="R15" i="52"/>
  <c r="AA10" i="52"/>
  <c r="R10" i="52"/>
  <c r="V25" i="52"/>
  <c r="Z20" i="52"/>
  <c r="AA15" i="52"/>
  <c r="Y10" i="52"/>
  <c r="V20" i="52"/>
  <c r="Z25" i="52"/>
  <c r="X25" i="52"/>
  <c r="AC15" i="44"/>
  <c r="X10" i="52"/>
  <c r="Y20" i="52"/>
  <c r="AC10" i="49"/>
  <c r="X20" i="52"/>
  <c r="W20" i="52"/>
  <c r="R25" i="52"/>
  <c r="W25" i="52"/>
  <c r="Y25" i="52"/>
  <c r="BH31" i="48"/>
  <c r="R31" i="48" s="1"/>
  <c r="BH31" i="45"/>
  <c r="R31" i="45" s="1"/>
  <c r="R25" i="48"/>
  <c r="Z15" i="48"/>
  <c r="Z25" i="48"/>
  <c r="AA20" i="48"/>
  <c r="AB10" i="44"/>
  <c r="AC10" i="44"/>
  <c r="W25" i="48"/>
  <c r="X20" i="48"/>
  <c r="Z20" i="48"/>
  <c r="Y15" i="48"/>
  <c r="AA25" i="48"/>
  <c r="W20" i="48"/>
  <c r="AB15" i="44"/>
  <c r="AC20" i="44"/>
  <c r="AB25" i="17" s="1"/>
  <c r="AC25" i="44"/>
  <c r="AA15" i="48"/>
  <c r="R15" i="48"/>
  <c r="Y20" i="48"/>
  <c r="W15" i="48"/>
  <c r="X25" i="48"/>
  <c r="X15" i="48"/>
  <c r="V25" i="48"/>
  <c r="R10" i="48"/>
  <c r="V10" i="48"/>
  <c r="W10" i="48"/>
  <c r="X10" i="48"/>
  <c r="Y10" i="48"/>
  <c r="Z10" i="48"/>
  <c r="Y25" i="48"/>
  <c r="AA10" i="48"/>
  <c r="V20" i="48"/>
  <c r="V15" i="48"/>
  <c r="R20" i="48"/>
  <c r="V10" i="45"/>
  <c r="V20" i="45"/>
  <c r="V15" i="45"/>
  <c r="Y20" i="45"/>
  <c r="X20" i="45"/>
  <c r="AA20" i="45"/>
  <c r="Z20" i="45"/>
  <c r="Z25" i="45"/>
  <c r="R20" i="45"/>
  <c r="W20" i="45"/>
  <c r="Z15" i="45"/>
  <c r="R15" i="45"/>
  <c r="AA25" i="45"/>
  <c r="W25" i="45"/>
  <c r="R25" i="45"/>
  <c r="Z10" i="45"/>
  <c r="W10" i="45"/>
  <c r="X15" i="45"/>
  <c r="Y15" i="45"/>
  <c r="Y25" i="45"/>
  <c r="V25" i="45"/>
  <c r="Y10" i="45"/>
  <c r="R10" i="45"/>
  <c r="W15" i="45"/>
  <c r="AA15" i="45"/>
  <c r="X25" i="45"/>
  <c r="AA10" i="45"/>
  <c r="X10" i="45"/>
  <c r="AB25" i="44"/>
  <c r="AQ15" i="44"/>
  <c r="J87" i="35" s="1"/>
  <c r="F60" i="17" s="1"/>
  <c r="E60" i="17" s="1"/>
  <c r="AQ10" i="44"/>
  <c r="J83" i="35" s="1"/>
  <c r="F44" i="17" s="1"/>
  <c r="AB10" i="49"/>
  <c r="AB20" i="44"/>
  <c r="AC25" i="17" s="1"/>
  <c r="AD25" i="17"/>
  <c r="AQ25" i="44"/>
  <c r="AQ20" i="44"/>
  <c r="AC15" i="49"/>
  <c r="AC20" i="49"/>
  <c r="AB50" i="17" s="1"/>
  <c r="AB15" i="49"/>
  <c r="W10" i="43"/>
  <c r="V25" i="43"/>
  <c r="V15" i="43"/>
  <c r="X20" i="43"/>
  <c r="V10" i="43"/>
  <c r="Z25" i="43"/>
  <c r="Y25" i="43"/>
  <c r="AA15" i="43"/>
  <c r="R10" i="43"/>
  <c r="AA10" i="43"/>
  <c r="Z10" i="43"/>
  <c r="X10" i="43"/>
  <c r="X25" i="43"/>
  <c r="Y20" i="43"/>
  <c r="R20" i="43"/>
  <c r="AA20" i="43"/>
  <c r="AA25" i="43"/>
  <c r="R25" i="43"/>
  <c r="V20" i="43"/>
  <c r="R15" i="43"/>
  <c r="W25" i="43"/>
  <c r="W15" i="43"/>
  <c r="Y10" i="43"/>
  <c r="X15" i="43"/>
  <c r="Y15" i="43"/>
  <c r="W20" i="43"/>
  <c r="Z20" i="43"/>
  <c r="Z15" i="43"/>
  <c r="BH31" i="43"/>
  <c r="R31" i="43" s="1"/>
  <c r="AC25" i="49"/>
  <c r="AB25" i="49"/>
  <c r="AD50" i="17"/>
  <c r="AB20" i="49"/>
  <c r="AC50" i="17" s="1"/>
  <c r="AC15" i="50"/>
  <c r="AB25" i="50"/>
  <c r="AB10" i="46"/>
  <c r="AQ10" i="49"/>
  <c r="J79" i="35" s="1"/>
  <c r="F28" i="17" s="1"/>
  <c r="AQ25" i="49"/>
  <c r="AQ15" i="49"/>
  <c r="K78" i="35" s="1"/>
  <c r="N24" i="17" s="1"/>
  <c r="AQ20" i="49"/>
  <c r="AC10" i="50"/>
  <c r="AB15" i="50"/>
  <c r="AC20" i="50"/>
  <c r="AB55" i="17" s="1"/>
  <c r="AB10" i="50"/>
  <c r="AC25" i="50"/>
  <c r="AB15" i="47"/>
  <c r="AQ10" i="50"/>
  <c r="J88" i="35" s="1"/>
  <c r="F64" i="17" s="1"/>
  <c r="AQ20" i="50"/>
  <c r="AQ25" i="50"/>
  <c r="AQ15" i="50"/>
  <c r="K84" i="35" s="1"/>
  <c r="N48" i="17" s="1"/>
  <c r="AD55" i="17"/>
  <c r="AB20" i="50"/>
  <c r="AC55" i="17" s="1"/>
  <c r="AC15" i="47"/>
  <c r="AB25" i="47"/>
  <c r="AC25" i="47"/>
  <c r="AC20" i="47"/>
  <c r="AB40" i="17" s="1"/>
  <c r="AC10" i="47"/>
  <c r="AB20" i="47"/>
  <c r="AC40" i="17" s="1"/>
  <c r="AD40" i="17"/>
  <c r="AC25" i="46"/>
  <c r="AQ15" i="47"/>
  <c r="K87" i="35" s="1"/>
  <c r="N60" i="17" s="1"/>
  <c r="AQ10" i="47"/>
  <c r="J82" i="35" s="1"/>
  <c r="F40" i="17" s="1"/>
  <c r="AQ20" i="47"/>
  <c r="AQ25" i="47"/>
  <c r="AB15" i="46"/>
  <c r="AB25" i="46"/>
  <c r="AC10" i="46"/>
  <c r="AC15" i="46"/>
  <c r="AC20" i="46"/>
  <c r="AB35" i="17" s="1"/>
  <c r="AB20" i="46"/>
  <c r="AC35" i="17" s="1"/>
  <c r="AB25" i="42"/>
  <c r="AC20" i="42"/>
  <c r="AB15" i="17" s="1"/>
  <c r="AB20" i="42"/>
  <c r="AC15" i="17" s="1"/>
  <c r="AC25" i="42"/>
  <c r="AC15" i="42"/>
  <c r="AB15" i="42"/>
  <c r="AQ15" i="46"/>
  <c r="K75" i="35" s="1"/>
  <c r="N12" i="17" s="1"/>
  <c r="O12" i="17" s="1"/>
  <c r="AQ25" i="46"/>
  <c r="AQ20" i="46"/>
  <c r="AQ10" i="46"/>
  <c r="J77" i="35" s="1"/>
  <c r="F20" i="17" s="1"/>
  <c r="E20" i="17" s="1"/>
  <c r="AB10" i="42"/>
  <c r="AC10" i="42"/>
  <c r="AQ15" i="42"/>
  <c r="K74" i="35" s="1"/>
  <c r="N8" i="17" s="1"/>
  <c r="AQ25" i="42"/>
  <c r="AQ20" i="42"/>
  <c r="AQ10" i="42"/>
  <c r="J86" i="35" s="1"/>
  <c r="F56" i="17" s="1"/>
  <c r="W25" i="22"/>
  <c r="X20" i="22"/>
  <c r="AA10" i="22"/>
  <c r="Y25" i="22"/>
  <c r="W20" i="22"/>
  <c r="Z10" i="22"/>
  <c r="R15" i="22"/>
  <c r="R10" i="22"/>
  <c r="V25" i="22"/>
  <c r="Y10" i="22"/>
  <c r="X10" i="22"/>
  <c r="W10" i="22"/>
  <c r="V10" i="22"/>
  <c r="Y20" i="22"/>
  <c r="R25" i="22"/>
  <c r="AA25" i="22"/>
  <c r="V20" i="22"/>
  <c r="AA20" i="22"/>
  <c r="X15" i="22"/>
  <c r="Z25" i="22"/>
  <c r="X25" i="22"/>
  <c r="AA15" i="22"/>
  <c r="R20" i="22"/>
  <c r="V15" i="22"/>
  <c r="W15" i="22"/>
  <c r="Z20" i="22"/>
  <c r="Z15" i="22"/>
  <c r="Y15" i="22"/>
  <c r="BH31" i="22"/>
  <c r="R31" i="22" s="1"/>
  <c r="AB10" i="43" l="1"/>
  <c r="E64" i="17"/>
  <c r="R64" i="17"/>
  <c r="J96" i="35" s="1"/>
  <c r="F32" i="54" s="1"/>
  <c r="O60" i="17"/>
  <c r="R60" i="17"/>
  <c r="K96" i="35" s="1"/>
  <c r="N32" i="54" s="1"/>
  <c r="O32" i="54" s="1"/>
  <c r="E56" i="17"/>
  <c r="R56" i="17"/>
  <c r="J97" i="35" s="1"/>
  <c r="F36" i="54" s="1"/>
  <c r="AC15" i="52"/>
  <c r="E44" i="17"/>
  <c r="R44" i="17"/>
  <c r="J95" i="35" s="1"/>
  <c r="F28" i="54" s="1"/>
  <c r="E28" i="54" s="1"/>
  <c r="E28" i="17"/>
  <c r="R28" i="17"/>
  <c r="K91" i="35" s="1"/>
  <c r="N12" i="54" s="1"/>
  <c r="O12" i="54" s="1"/>
  <c r="O24" i="17"/>
  <c r="R24" i="17"/>
  <c r="K92" i="35" s="1"/>
  <c r="N16" i="54" s="1"/>
  <c r="O8" i="17"/>
  <c r="R8" i="17"/>
  <c r="J90" i="35" s="1"/>
  <c r="F8" i="54" s="1"/>
  <c r="AB15" i="52"/>
  <c r="AD8" i="35"/>
  <c r="AA25" i="17"/>
  <c r="AE25" i="17" s="1"/>
  <c r="AD13" i="35"/>
  <c r="AA50" i="17"/>
  <c r="AE50" i="17" s="1"/>
  <c r="AD14" i="35"/>
  <c r="AA55" i="17"/>
  <c r="AE55" i="17" s="1"/>
  <c r="AD11" i="35"/>
  <c r="AA40" i="17"/>
  <c r="AE40" i="17" s="1"/>
  <c r="AD10" i="35"/>
  <c r="AA35" i="17"/>
  <c r="AE35" i="17" s="1"/>
  <c r="AD6" i="35"/>
  <c r="AA15" i="17"/>
  <c r="AE15" i="17" s="1"/>
  <c r="AB25" i="52"/>
  <c r="AB25" i="48"/>
  <c r="AC10" i="52"/>
  <c r="AB10" i="52"/>
  <c r="AC20" i="52"/>
  <c r="AB65" i="17" s="1"/>
  <c r="AC25" i="52"/>
  <c r="AD65" i="17"/>
  <c r="AB20" i="52"/>
  <c r="AC65" i="17" s="1"/>
  <c r="AC20" i="45"/>
  <c r="AB30" i="17" s="1"/>
  <c r="AQ20" i="52"/>
  <c r="AQ10" i="52"/>
  <c r="J81" i="35" s="1"/>
  <c r="F36" i="17" s="1"/>
  <c r="AQ15" i="52"/>
  <c r="K85" i="35" s="1"/>
  <c r="N52" i="17" s="1"/>
  <c r="O52" i="17" s="1"/>
  <c r="AQ25" i="52"/>
  <c r="AC20" i="48"/>
  <c r="AB45" i="17" s="1"/>
  <c r="AB15" i="48"/>
  <c r="AC25" i="43"/>
  <c r="AB25" i="45"/>
  <c r="AC25" i="48"/>
  <c r="AC10" i="48"/>
  <c r="AC15" i="45"/>
  <c r="AB15" i="45"/>
  <c r="AC25" i="45"/>
  <c r="AB10" i="45"/>
  <c r="AC10" i="45"/>
  <c r="AC15" i="48"/>
  <c r="AB10" i="48"/>
  <c r="AB20" i="48"/>
  <c r="AC45" i="17" s="1"/>
  <c r="AD45" i="17"/>
  <c r="AQ10" i="48"/>
  <c r="J84" i="35" s="1"/>
  <c r="F48" i="17" s="1"/>
  <c r="AQ15" i="48"/>
  <c r="K88" i="35" s="1"/>
  <c r="N64" i="17" s="1"/>
  <c r="O64" i="17" s="1"/>
  <c r="AQ25" i="48"/>
  <c r="AQ20" i="48"/>
  <c r="AQ25" i="45"/>
  <c r="AQ20" i="45"/>
  <c r="AQ10" i="45"/>
  <c r="J76" i="35" s="1"/>
  <c r="F16" i="17" s="1"/>
  <c r="E16" i="17" s="1"/>
  <c r="AQ15" i="45"/>
  <c r="J78" i="35" s="1"/>
  <c r="F24" i="17" s="1"/>
  <c r="E24" i="17" s="1"/>
  <c r="AD30" i="17"/>
  <c r="AB20" i="45"/>
  <c r="AC30" i="17" s="1"/>
  <c r="AC20" i="43"/>
  <c r="AB20" i="17" s="1"/>
  <c r="AQ20" i="43"/>
  <c r="AQ25" i="43"/>
  <c r="AQ10" i="43"/>
  <c r="J75" i="35" s="1"/>
  <c r="F12" i="17" s="1"/>
  <c r="AQ15" i="43"/>
  <c r="K77" i="35" s="1"/>
  <c r="N20" i="17" s="1"/>
  <c r="AB20" i="43"/>
  <c r="AC20" i="17" s="1"/>
  <c r="AD20" i="17"/>
  <c r="AB15" i="43"/>
  <c r="AC15" i="43"/>
  <c r="AC10" i="43"/>
  <c r="AB25" i="43"/>
  <c r="AD10" i="17"/>
  <c r="AC10" i="22"/>
  <c r="AC20" i="22"/>
  <c r="AB15" i="22"/>
  <c r="AB10" i="22"/>
  <c r="AB20" i="22"/>
  <c r="AQ15" i="22"/>
  <c r="AQ20" i="22"/>
  <c r="AA10" i="17" s="1"/>
  <c r="AQ25" i="22"/>
  <c r="AQ10" i="22"/>
  <c r="AB25" i="22"/>
  <c r="AC15" i="22"/>
  <c r="AC25" i="22"/>
  <c r="E36" i="54" l="1"/>
  <c r="R36" i="54"/>
  <c r="K101" i="35" s="1"/>
  <c r="N20" i="18" s="1"/>
  <c r="O20" i="18" s="1"/>
  <c r="E32" i="54"/>
  <c r="R32" i="54"/>
  <c r="J101" i="35" s="1"/>
  <c r="F20" i="18" s="1"/>
  <c r="E48" i="17"/>
  <c r="R48" i="17"/>
  <c r="K94" i="35" s="1"/>
  <c r="N24" i="54" s="1"/>
  <c r="E36" i="17"/>
  <c r="R36" i="17"/>
  <c r="K93" i="35" s="1"/>
  <c r="N20" i="54" s="1"/>
  <c r="O20" i="17"/>
  <c r="R20" i="17"/>
  <c r="K90" i="35" s="1"/>
  <c r="N8" i="54" s="1"/>
  <c r="E12" i="17"/>
  <c r="R12" i="17"/>
  <c r="J92" i="35" s="1"/>
  <c r="F16" i="54" s="1"/>
  <c r="AD16" i="35"/>
  <c r="AA65" i="17"/>
  <c r="AE65" i="17" s="1"/>
  <c r="AD12" i="35"/>
  <c r="AA45" i="17"/>
  <c r="AE45" i="17" s="1"/>
  <c r="AD9" i="35"/>
  <c r="AA30" i="17"/>
  <c r="AE30" i="17" s="1"/>
  <c r="AD7" i="35"/>
  <c r="AA20" i="17"/>
  <c r="AE20" i="17" s="1"/>
  <c r="AD5" i="35"/>
  <c r="AB10" i="17"/>
  <c r="AC10" i="17"/>
  <c r="J74" i="35"/>
  <c r="F8" i="17" s="1"/>
  <c r="E8" i="17" s="1"/>
  <c r="O48" i="17"/>
  <c r="E40" i="17"/>
  <c r="J80" i="35"/>
  <c r="F32" i="17" s="1"/>
  <c r="E8" i="54"/>
  <c r="E20" i="18" l="1"/>
  <c r="R20" i="18"/>
  <c r="K103" i="35" s="1"/>
  <c r="N12" i="19" s="1"/>
  <c r="O24" i="54"/>
  <c r="R24" i="54"/>
  <c r="J99" i="35" s="1"/>
  <c r="F12" i="18" s="1"/>
  <c r="O8" i="54"/>
  <c r="R8" i="54"/>
  <c r="K98" i="35" s="1"/>
  <c r="N8" i="18" s="1"/>
  <c r="O8" i="18" s="1"/>
  <c r="E16" i="54"/>
  <c r="R16" i="54"/>
  <c r="J100" i="35" s="1"/>
  <c r="F16" i="18" s="1"/>
  <c r="O20" i="54"/>
  <c r="E32" i="17"/>
  <c r="R32" i="17"/>
  <c r="J93" i="35" s="1"/>
  <c r="F20" i="54" s="1"/>
  <c r="AE10" i="17"/>
  <c r="O16" i="54"/>
  <c r="O12" i="19" l="1"/>
  <c r="E12" i="18"/>
  <c r="R12" i="18"/>
  <c r="K102" i="35" s="1"/>
  <c r="N8" i="19" s="1"/>
  <c r="E16" i="18"/>
  <c r="E20" i="54"/>
  <c r="R20" i="54"/>
  <c r="K100" i="35" s="1"/>
  <c r="N16" i="18" s="1"/>
  <c r="Z10" i="17"/>
  <c r="Z30" i="17"/>
  <c r="Z25" i="17"/>
  <c r="Z45" i="17"/>
  <c r="Z60" i="17"/>
  <c r="Z55" i="17"/>
  <c r="Z35" i="17"/>
  <c r="Z20" i="17"/>
  <c r="Z15" i="17"/>
  <c r="Z50" i="17"/>
  <c r="Z40" i="17"/>
  <c r="Z65" i="17"/>
  <c r="O8" i="19" l="1"/>
  <c r="R8" i="19"/>
  <c r="J105" i="35" s="1"/>
  <c r="F15" i="34" s="1"/>
  <c r="E15" i="34" s="1"/>
  <c r="O16" i="18"/>
  <c r="R16" i="18"/>
  <c r="J103" i="35" s="1"/>
  <c r="F12" i="19" s="1"/>
  <c r="R12" i="19"/>
  <c r="K105" i="35" s="1"/>
  <c r="N15" i="34" s="1"/>
  <c r="O15" i="34" s="1"/>
  <c r="U10" i="17"/>
  <c r="X50" i="17"/>
  <c r="X60" i="17"/>
  <c r="X40" i="17"/>
  <c r="X30" i="17"/>
  <c r="X55" i="17"/>
  <c r="X35" i="17"/>
  <c r="X20" i="17"/>
  <c r="X65" i="17"/>
  <c r="X45" i="17"/>
  <c r="X25" i="17"/>
  <c r="X15" i="17"/>
  <c r="X10" i="17"/>
  <c r="V10" i="17"/>
  <c r="U15" i="17"/>
  <c r="V15" i="17"/>
  <c r="W15" i="17"/>
  <c r="U20" i="17"/>
  <c r="V20" i="17"/>
  <c r="W20" i="17"/>
  <c r="U25" i="17"/>
  <c r="V25" i="17"/>
  <c r="W25" i="17"/>
  <c r="U30" i="17"/>
  <c r="V30" i="17"/>
  <c r="W30" i="17"/>
  <c r="U35" i="17"/>
  <c r="V35" i="17"/>
  <c r="W35" i="17"/>
  <c r="U40" i="17"/>
  <c r="V40" i="17"/>
  <c r="W40" i="17"/>
  <c r="U45" i="17"/>
  <c r="V45" i="17"/>
  <c r="W45" i="17"/>
  <c r="U50" i="17"/>
  <c r="V50" i="17"/>
  <c r="W50" i="17"/>
  <c r="U55" i="17"/>
  <c r="V55" i="17"/>
  <c r="W55" i="17"/>
  <c r="U60" i="17"/>
  <c r="V60" i="17"/>
  <c r="W60" i="17"/>
  <c r="U65" i="17"/>
  <c r="V65" i="17"/>
  <c r="W65" i="17"/>
  <c r="W10" i="17"/>
  <c r="Y10" i="17"/>
  <c r="Y15" i="17"/>
  <c r="Y20" i="17"/>
  <c r="Y25" i="17"/>
  <c r="Y30" i="17"/>
  <c r="Y35" i="17"/>
  <c r="Y40" i="17"/>
  <c r="Y45" i="17"/>
  <c r="Y50" i="17"/>
  <c r="Y55" i="17"/>
  <c r="Y60" i="17"/>
  <c r="Y65" i="17"/>
  <c r="E12" i="19" l="1"/>
  <c r="T12" i="19"/>
  <c r="K104" i="35" s="1"/>
  <c r="N8" i="34" s="1"/>
  <c r="O8" i="34" s="1"/>
  <c r="AD2" i="35"/>
  <c r="AG35" i="17"/>
  <c r="AG15" i="17"/>
  <c r="AG20" i="17"/>
  <c r="AG40" i="17"/>
  <c r="AG55" i="17"/>
  <c r="AG65" i="17"/>
  <c r="AG30" i="17"/>
  <c r="AG25" i="17"/>
  <c r="AG10" i="17"/>
  <c r="AG50" i="17"/>
  <c r="AG45" i="17"/>
  <c r="AG60" i="17"/>
  <c r="AJ5" i="35" l="1"/>
  <c r="AJ6" i="35"/>
  <c r="AJ7" i="35"/>
  <c r="AJ8" i="35"/>
  <c r="AJ4" i="35"/>
  <c r="AJ9" i="35"/>
  <c r="AJ3" i="35"/>
  <c r="AJ2" i="35"/>
  <c r="AI51" i="17"/>
  <c r="AI21" i="17"/>
  <c r="AI41" i="17"/>
  <c r="AI66" i="17"/>
  <c r="AI26" i="17"/>
  <c r="AI16" i="17"/>
  <c r="AI61" i="17"/>
  <c r="AI31" i="17"/>
  <c r="AI56" i="17"/>
  <c r="AI11" i="17"/>
  <c r="AI46" i="17"/>
  <c r="AI36" i="17"/>
  <c r="AD3" i="35" l="1"/>
  <c r="AL6" i="17"/>
  <c r="K86" i="35" l="1"/>
  <c r="N56" i="17" s="1"/>
  <c r="O56" i="17" s="1"/>
  <c r="K81" i="35"/>
  <c r="N36" i="17" s="1"/>
  <c r="O36" i="17" s="1"/>
  <c r="K76" i="35"/>
  <c r="N16" i="17" s="1"/>
  <c r="K89" i="35"/>
  <c r="N68" i="17" s="1"/>
  <c r="O68" i="17" s="1"/>
  <c r="K83" i="35"/>
  <c r="N44" i="17" s="1"/>
  <c r="O44" i="17" s="1"/>
  <c r="K79" i="35"/>
  <c r="N28" i="17" s="1"/>
  <c r="O28" i="17" s="1"/>
  <c r="K82" i="35"/>
  <c r="N40" i="17" s="1"/>
  <c r="K80" i="35"/>
  <c r="N32" i="17" s="1"/>
  <c r="O32" i="17" s="1"/>
  <c r="O40" i="17" l="1"/>
  <c r="R40" i="17"/>
  <c r="K95" i="35" s="1"/>
  <c r="N28" i="54" s="1"/>
  <c r="O16" i="17"/>
  <c r="R16" i="17"/>
  <c r="J91" i="35" s="1"/>
  <c r="F12" i="54" s="1"/>
  <c r="O28" i="54" l="1"/>
  <c r="R28" i="54"/>
  <c r="K99" i="35" s="1"/>
  <c r="N12" i="18" s="1"/>
  <c r="O12" i="18" s="1"/>
  <c r="E12" i="54"/>
  <c r="R12" i="54"/>
  <c r="J98" i="35" s="1"/>
  <c r="F8" i="18" s="1"/>
  <c r="E8" i="18" l="1"/>
  <c r="R8" i="18"/>
  <c r="J102" i="35" s="1"/>
  <c r="F8" i="19" s="1"/>
  <c r="E8" i="19" l="1"/>
  <c r="T8" i="19"/>
  <c r="J104" i="35" s="1"/>
  <c r="F8" i="34" s="1"/>
  <c r="E8" i="34" s="1"/>
</calcChain>
</file>

<file path=xl/sharedStrings.xml><?xml version="1.0" encoding="utf-8"?>
<sst xmlns="http://schemas.openxmlformats.org/spreadsheetml/2006/main" count="6228" uniqueCount="954">
  <si>
    <t>-</t>
  </si>
  <si>
    <t>PARTIDOS</t>
  </si>
  <si>
    <t>POSICIONES</t>
  </si>
  <si>
    <t>Pts.</t>
  </si>
  <si>
    <t>Gan.</t>
  </si>
  <si>
    <t>Emp.</t>
  </si>
  <si>
    <t>Per.</t>
  </si>
  <si>
    <t>GF</t>
  </si>
  <si>
    <t>GC</t>
  </si>
  <si>
    <t>Dif.</t>
  </si>
  <si>
    <t>BRASIL</t>
  </si>
  <si>
    <t>CROACIA</t>
  </si>
  <si>
    <t>AUSTRALIA</t>
  </si>
  <si>
    <t>ESPAÑA</t>
  </si>
  <si>
    <t>URUGUAY</t>
  </si>
  <si>
    <t>INGLATERRA</t>
  </si>
  <si>
    <t>SUIZA</t>
  </si>
  <si>
    <t>FRANCIA</t>
  </si>
  <si>
    <t>ARGENTINA</t>
  </si>
  <si>
    <t>ALEMANIA</t>
  </si>
  <si>
    <t>PORTUGAL</t>
  </si>
  <si>
    <t>SEMIFINALES</t>
  </si>
  <si>
    <t>TERCER PUESTO</t>
  </si>
  <si>
    <t>Partido por el TERCER PUESTO</t>
  </si>
  <si>
    <t>CUARTO PUESTO</t>
  </si>
  <si>
    <t>SEGUNDO PUESTO</t>
  </si>
  <si>
    <t>FINAL DEL CAMPEONATO</t>
  </si>
  <si>
    <t>Fechas</t>
  </si>
  <si>
    <t>Horas</t>
  </si>
  <si>
    <t>MARRUECOS</t>
  </si>
  <si>
    <t>IRÁN</t>
  </si>
  <si>
    <t>MÉXICO</t>
  </si>
  <si>
    <t>BÉLGICA</t>
  </si>
  <si>
    <t>TÚNEZ</t>
  </si>
  <si>
    <t>JAPÓN</t>
  </si>
  <si>
    <t>SENEGAL</t>
  </si>
  <si>
    <t>Ganadores</t>
  </si>
  <si>
    <t>AÑOS</t>
  </si>
  <si>
    <t>EQUIPOS</t>
  </si>
  <si>
    <t>TORNEOS</t>
  </si>
  <si>
    <t xml:space="preserve">        ALEMANIA</t>
  </si>
  <si>
    <t xml:space="preserve">        ARGENTINA</t>
  </si>
  <si>
    <t xml:space="preserve">        AUSTRALIA</t>
  </si>
  <si>
    <t xml:space="preserve">        BÉLGICA</t>
  </si>
  <si>
    <t xml:space="preserve">        BRASIL</t>
  </si>
  <si>
    <t xml:space="preserve">        CROACIA</t>
  </si>
  <si>
    <t xml:space="preserve">        ESPAÑA</t>
  </si>
  <si>
    <t xml:space="preserve">        FRANCIA</t>
  </si>
  <si>
    <t xml:space="preserve">        INGLATERRA</t>
  </si>
  <si>
    <t xml:space="preserve">        IRÁN</t>
  </si>
  <si>
    <t xml:space="preserve">        JAPÓN</t>
  </si>
  <si>
    <t xml:space="preserve">        MARRUECOS</t>
  </si>
  <si>
    <t xml:space="preserve">        MÉXICO</t>
  </si>
  <si>
    <t xml:space="preserve">        PORTUGAL</t>
  </si>
  <si>
    <t xml:space="preserve">        SENEGAL</t>
  </si>
  <si>
    <t xml:space="preserve">        SUIZA</t>
  </si>
  <si>
    <t xml:space="preserve">        TÚNEZ</t>
  </si>
  <si>
    <t xml:space="preserve">        URUGUAY</t>
  </si>
  <si>
    <t>«</t>
  </si>
  <si>
    <t>««</t>
  </si>
  <si>
    <t>«««««</t>
  </si>
  <si>
    <t>Los horarios de los partidos corresponden a la localidad donde se juega el encuentro.</t>
  </si>
  <si>
    <t>vacía</t>
  </si>
  <si>
    <t>Estadios</t>
  </si>
  <si>
    <t>CATAR</t>
  </si>
  <si>
    <t>ECUADOR</t>
  </si>
  <si>
    <t>PAÍSES BAJOS</t>
  </si>
  <si>
    <t>CANADÁ</t>
  </si>
  <si>
    <t>GHANA</t>
  </si>
  <si>
    <t>ESTADOS UNIDOS</t>
  </si>
  <si>
    <t xml:space="preserve">        CANADÁ</t>
  </si>
  <si>
    <t xml:space="preserve">        CATAR</t>
  </si>
  <si>
    <t xml:space="preserve">        ECUADOR</t>
  </si>
  <si>
    <t xml:space="preserve">        ESTADOS UNIDOS</t>
  </si>
  <si>
    <t xml:space="preserve">        GHANA</t>
  </si>
  <si>
    <t xml:space="preserve">        PAÍSES BAJOS</t>
  </si>
  <si>
    <t>ESTADIOS</t>
  </si>
  <si>
    <t>UTC</t>
  </si>
  <si>
    <t>Estadio</t>
  </si>
  <si>
    <t>Hora</t>
  </si>
  <si>
    <t>Fecha</t>
  </si>
  <si>
    <t>#</t>
  </si>
  <si>
    <t>««««</t>
  </si>
  <si>
    <t>cumple la Copa Mundial en 2026.</t>
  </si>
  <si>
    <t>de todo el mundo participarán en el Mundial. Es la mayor cifra que ha tenido el torneo en su
historia.</t>
  </si>
  <si>
    <t>«««</t>
  </si>
  <si>
    <t>mundiales de fútbol de FIFA se han disputado desde 1930. El de este año será el número 23.</t>
  </si>
  <si>
    <t>serán sedes
de los encuentros,
en 3 países de Norteamérica: Canadá, México y Estados Unidos.</t>
  </si>
  <si>
    <t>se jugarán entre
el 11 de junio y
el 19 de julio
de 2026. Son 40 más que en el Mundial anterior.</t>
  </si>
  <si>
    <t>Elige tu zona horaria para que los partidos aparezcan con tu horario local:</t>
  </si>
  <si>
    <t xml:space="preserve"> ARGENTINA</t>
  </si>
  <si>
    <t xml:space="preserve">JORDANIA </t>
  </si>
  <si>
    <t>Grupo J</t>
  </si>
  <si>
    <t xml:space="preserve"> AUSTRIA</t>
  </si>
  <si>
    <t xml:space="preserve">ARGELIA </t>
  </si>
  <si>
    <t xml:space="preserve"> UZBEKISTÁN</t>
  </si>
  <si>
    <t>Grupo K</t>
  </si>
  <si>
    <t xml:space="preserve"> PORTUGAL</t>
  </si>
  <si>
    <t xml:space="preserve">COLOMBIA </t>
  </si>
  <si>
    <t xml:space="preserve"> GHANA</t>
  </si>
  <si>
    <t xml:space="preserve">CROACIA </t>
  </si>
  <si>
    <t>Grupo L</t>
  </si>
  <si>
    <t xml:space="preserve"> INGLATERRA</t>
  </si>
  <si>
    <t xml:space="preserve">PANAMÁ </t>
  </si>
  <si>
    <t xml:space="preserve"> BÉLGICA</t>
  </si>
  <si>
    <t xml:space="preserve">NUEVA ZELANDA </t>
  </si>
  <si>
    <t>Grupo G</t>
  </si>
  <si>
    <t xml:space="preserve"> IRÁN</t>
  </si>
  <si>
    <t xml:space="preserve">EGIPTO </t>
  </si>
  <si>
    <t>Sábado 27 junio</t>
  </si>
  <si>
    <t xml:space="preserve"> ESPAÑA</t>
  </si>
  <si>
    <t xml:space="preserve">URUGUAY </t>
  </si>
  <si>
    <t>Grupo H</t>
  </si>
  <si>
    <t xml:space="preserve">CABO VERDE </t>
  </si>
  <si>
    <t xml:space="preserve">SENEGAL </t>
  </si>
  <si>
    <t>Grupo I</t>
  </si>
  <si>
    <t xml:space="preserve"> FRANCIA</t>
  </si>
  <si>
    <t xml:space="preserve">NORUEGA </t>
  </si>
  <si>
    <t>Viernes 26 junio</t>
  </si>
  <si>
    <t xml:space="preserve"> AUSTRALIA</t>
  </si>
  <si>
    <t xml:space="preserve">PARAGUAY </t>
  </si>
  <si>
    <t>Grupo D</t>
  </si>
  <si>
    <t xml:space="preserve"> PAÍSES BAJOS</t>
  </si>
  <si>
    <t xml:space="preserve">TÚNEZ </t>
  </si>
  <si>
    <t>Grupo F</t>
  </si>
  <si>
    <t xml:space="preserve">JAPÓN </t>
  </si>
  <si>
    <t xml:space="preserve"> ALEMANIA</t>
  </si>
  <si>
    <t xml:space="preserve">ECUADOR </t>
  </si>
  <si>
    <t>Grupo E</t>
  </si>
  <si>
    <t xml:space="preserve">CURAZAO </t>
  </si>
  <si>
    <t>Jueves 25 junio</t>
  </si>
  <si>
    <t xml:space="preserve">SUDÁFRICA </t>
  </si>
  <si>
    <t>Grupo A</t>
  </si>
  <si>
    <t xml:space="preserve"> MÉXICO</t>
  </si>
  <si>
    <t xml:space="preserve"> HAITÍ</t>
  </si>
  <si>
    <t xml:space="preserve">MARRUECOS </t>
  </si>
  <si>
    <t>Grupo C</t>
  </si>
  <si>
    <t xml:space="preserve"> BRASIL</t>
  </si>
  <si>
    <t xml:space="preserve">ESCOCIA </t>
  </si>
  <si>
    <t xml:space="preserve"> CATAR</t>
  </si>
  <si>
    <t>Grupo B</t>
  </si>
  <si>
    <t xml:space="preserve"> CANADÁ</t>
  </si>
  <si>
    <t xml:space="preserve">SUIZA </t>
  </si>
  <si>
    <t>Miércoles 24 junio</t>
  </si>
  <si>
    <t xml:space="preserve"> CROACIA</t>
  </si>
  <si>
    <t xml:space="preserve">INGLATERRA </t>
  </si>
  <si>
    <t xml:space="preserve">PORTUGAL </t>
  </si>
  <si>
    <t xml:space="preserve"> ARGELIA</t>
  </si>
  <si>
    <t>Martes 23 junio</t>
  </si>
  <si>
    <t xml:space="preserve"> SENEGAL</t>
  </si>
  <si>
    <t xml:space="preserve">FRANCIA </t>
  </si>
  <si>
    <t xml:space="preserve">ARGENTINA </t>
  </si>
  <si>
    <t>Lunes 22 junio</t>
  </si>
  <si>
    <t xml:space="preserve"> EGIPTO</t>
  </si>
  <si>
    <t xml:space="preserve"> CABO VERDE</t>
  </si>
  <si>
    <t xml:space="preserve">BÉLGICA </t>
  </si>
  <si>
    <t xml:space="preserve">ESPAÑA </t>
  </si>
  <si>
    <t xml:space="preserve"> JAPÓN</t>
  </si>
  <si>
    <t>Domingo 21 junio</t>
  </si>
  <si>
    <t xml:space="preserve"> CURAZAO</t>
  </si>
  <si>
    <t xml:space="preserve">ALEMANIA </t>
  </si>
  <si>
    <t xml:space="preserve">PAÍSES BAJOS </t>
  </si>
  <si>
    <t xml:space="preserve"> PARAGUAY</t>
  </si>
  <si>
    <t>Sábado 20 junio</t>
  </si>
  <si>
    <t xml:space="preserve">BRASIL </t>
  </si>
  <si>
    <t xml:space="preserve"> MARRUECOS</t>
  </si>
  <si>
    <t>Viernes 19 junio</t>
  </si>
  <si>
    <t xml:space="preserve">MÉXICO </t>
  </si>
  <si>
    <t xml:space="preserve">CANADÁ </t>
  </si>
  <si>
    <t xml:space="preserve"> SUDÁFRICA</t>
  </si>
  <si>
    <t>Jueves 18 junio</t>
  </si>
  <si>
    <t xml:space="preserve"> COLOMBIA</t>
  </si>
  <si>
    <t xml:space="preserve">UZBEKISTÁN </t>
  </si>
  <si>
    <t xml:space="preserve"> PANAMÁ</t>
  </si>
  <si>
    <t xml:space="preserve">GHANA </t>
  </si>
  <si>
    <t xml:space="preserve">AUSTRIA </t>
  </si>
  <si>
    <t xml:space="preserve"> NORUEGA</t>
  </si>
  <si>
    <t>Martes 16 junio</t>
  </si>
  <si>
    <t xml:space="preserve"> NUEVA ZELANDA</t>
  </si>
  <si>
    <t xml:space="preserve">IRÁN </t>
  </si>
  <si>
    <t xml:space="preserve"> URUGUAY</t>
  </si>
  <si>
    <t>Lunes 15 junio</t>
  </si>
  <si>
    <t xml:space="preserve"> TÚNEZ</t>
  </si>
  <si>
    <t xml:space="preserve"> ECUADOR</t>
  </si>
  <si>
    <t xml:space="preserve">AUSTRALIA </t>
  </si>
  <si>
    <t>Domingo 14 junio</t>
  </si>
  <si>
    <t xml:space="preserve"> ESCOCIA</t>
  </si>
  <si>
    <t xml:space="preserve">HAITÍ </t>
  </si>
  <si>
    <t xml:space="preserve"> SUIZA</t>
  </si>
  <si>
    <t xml:space="preserve">CATAR </t>
  </si>
  <si>
    <t>Sábado 13 junio</t>
  </si>
  <si>
    <t>Viernes 12 junio</t>
  </si>
  <si>
    <t>Jueves 11 junio</t>
  </si>
  <si>
    <t>SUDÁFRICA</t>
  </si>
  <si>
    <t>COSTA de MARFIL</t>
  </si>
  <si>
    <t xml:space="preserve"> COSTA de MARFIL</t>
  </si>
  <si>
    <t xml:space="preserve">COSTA de MARFIL </t>
  </si>
  <si>
    <t>FECHA LARGA</t>
  </si>
  <si>
    <t>FECHA</t>
  </si>
  <si>
    <t>HORA</t>
  </si>
  <si>
    <t>EQUIPO 1</t>
  </si>
  <si>
    <t>EQUIPO 2</t>
  </si>
  <si>
    <t>GRUPO</t>
  </si>
  <si>
    <t>ESTADIO</t>
  </si>
  <si>
    <t>ESTADIO ABREV.</t>
  </si>
  <si>
    <t>Ciudad de México</t>
  </si>
  <si>
    <t>Guadalajara</t>
  </si>
  <si>
    <t>Toronto</t>
  </si>
  <si>
    <t>PARAGUAY</t>
  </si>
  <si>
    <t>N. York/N. Jersey</t>
  </si>
  <si>
    <t>HAITÍ</t>
  </si>
  <si>
    <t>ESCOCIA</t>
  </si>
  <si>
    <t>Boston</t>
  </si>
  <si>
    <t>CURAZAO</t>
  </si>
  <si>
    <t>Houston</t>
  </si>
  <si>
    <t>Dallas</t>
  </si>
  <si>
    <t>Filadelfia</t>
  </si>
  <si>
    <t>Monterrey</t>
  </si>
  <si>
    <t>CABO VERDE</t>
  </si>
  <si>
    <t>Atlanta</t>
  </si>
  <si>
    <t>EGIPTO</t>
  </si>
  <si>
    <t>Seattle</t>
  </si>
  <si>
    <t>Miami</t>
  </si>
  <si>
    <t>NUEVA ZELANDA</t>
  </si>
  <si>
    <t>NORUEGA</t>
  </si>
  <si>
    <t>ARGELIA</t>
  </si>
  <si>
    <t>Kansas City</t>
  </si>
  <si>
    <t>AUSTRIA</t>
  </si>
  <si>
    <t>PANAMÁ</t>
  </si>
  <si>
    <t>UZBEKISTÁN</t>
  </si>
  <si>
    <t>COLOMBIA</t>
  </si>
  <si>
    <t>JORDANIA</t>
  </si>
  <si>
    <t>UTC-03:30</t>
  </si>
  <si>
    <t>UTC-12:00</t>
  </si>
  <si>
    <t>UTC-11:00</t>
  </si>
  <si>
    <t>UTC-10:00</t>
  </si>
  <si>
    <t>UTC-09:00</t>
  </si>
  <si>
    <t>UTC-08:00</t>
  </si>
  <si>
    <t>UTC-07:00</t>
  </si>
  <si>
    <t>UTC-06:00</t>
  </si>
  <si>
    <t>UTC-05:00</t>
  </si>
  <si>
    <t>UTC-04:00</t>
  </si>
  <si>
    <t>UTC+00:00</t>
  </si>
  <si>
    <t>UTC-01:00</t>
  </si>
  <si>
    <t>UTC-02:00</t>
  </si>
  <si>
    <t>UTC-03:00</t>
  </si>
  <si>
    <t>UTC+01:00</t>
  </si>
  <si>
    <t>UTC+02:00</t>
  </si>
  <si>
    <t>UTC+03:00</t>
  </si>
  <si>
    <t>UTC+04:00</t>
  </si>
  <si>
    <t>UTC+04:30</t>
  </si>
  <si>
    <t>UTC+05:00</t>
  </si>
  <si>
    <t>UTC+05:30</t>
  </si>
  <si>
    <t>UTC+05:45</t>
  </si>
  <si>
    <t>UTC+06:00</t>
  </si>
  <si>
    <t>UTC+06:30</t>
  </si>
  <si>
    <t>UTC+03:30</t>
  </si>
  <si>
    <t>UTC+08:00</t>
  </si>
  <si>
    <t>UTC+09:00</t>
  </si>
  <si>
    <t>UTC+09:30</t>
  </si>
  <si>
    <t>UTC+10:00</t>
  </si>
  <si>
    <t>UTC+10:30</t>
  </si>
  <si>
    <t>UTC+11:00</t>
  </si>
  <si>
    <t>UTC+12:00</t>
  </si>
  <si>
    <t>UTC+12:45</t>
  </si>
  <si>
    <t>UTC+13:00</t>
  </si>
  <si>
    <t>UTC+14:00</t>
  </si>
  <si>
    <t>UTC+07:00</t>
  </si>
  <si>
    <t>San Francisco</t>
  </si>
  <si>
    <t>Vancouver</t>
  </si>
  <si>
    <t>Puntos</t>
  </si>
  <si>
    <t>DG</t>
  </si>
  <si>
    <t>Jug.</t>
  </si>
  <si>
    <t xml:space="preserve"> JORDANIA</t>
  </si>
  <si>
    <t>BOSNIA y HERZEG.</t>
  </si>
  <si>
    <t>TURQUÍA</t>
  </si>
  <si>
    <t>SUECIA</t>
  </si>
  <si>
    <t xml:space="preserve">SUECIA </t>
  </si>
  <si>
    <t xml:space="preserve"> BOSNIA Y HERZEG.</t>
  </si>
  <si>
    <t xml:space="preserve"> TURQUÍA</t>
  </si>
  <si>
    <t xml:space="preserve"> BOSNIA y HERZEG.</t>
  </si>
  <si>
    <t xml:space="preserve">TURQUÍA </t>
  </si>
  <si>
    <t xml:space="preserve"> SUECIA</t>
  </si>
  <si>
    <t xml:space="preserve">BOSNIA y HERZEG. </t>
  </si>
  <si>
    <t>IRAK</t>
  </si>
  <si>
    <t xml:space="preserve">IRAK </t>
  </si>
  <si>
    <t xml:space="preserve"> IRAK</t>
  </si>
  <si>
    <t xml:space="preserve">        ARGELIA</t>
  </si>
  <si>
    <t xml:space="preserve">        AUSTRIA</t>
  </si>
  <si>
    <t xml:space="preserve">        BOSNIA y HERZEG.</t>
  </si>
  <si>
    <t xml:space="preserve">        CABO VERDE</t>
  </si>
  <si>
    <t>ITALIA</t>
  </si>
  <si>
    <t xml:space="preserve">        COLOMBIA</t>
  </si>
  <si>
    <t xml:space="preserve">        COSTA de MARFIL</t>
  </si>
  <si>
    <t xml:space="preserve">        CURAZAO</t>
  </si>
  <si>
    <t xml:space="preserve">        EGIPTO</t>
  </si>
  <si>
    <t xml:space="preserve">        ESCOCIA</t>
  </si>
  <si>
    <t xml:space="preserve">ESTADOS UNIDOS </t>
  </si>
  <si>
    <t xml:space="preserve"> ESTADOS UNIDOS</t>
  </si>
  <si>
    <t xml:space="preserve">        HAITÍ</t>
  </si>
  <si>
    <t xml:space="preserve">        IRAK</t>
  </si>
  <si>
    <t xml:space="preserve">        JORDANIA</t>
  </si>
  <si>
    <t xml:space="preserve">        NORUEGA</t>
  </si>
  <si>
    <t xml:space="preserve">        NUEVA ZELANDA</t>
  </si>
  <si>
    <t xml:space="preserve">        PANAMÁ</t>
  </si>
  <si>
    <t xml:space="preserve">        PARAGUAY</t>
  </si>
  <si>
    <t xml:space="preserve">        SUDÁFRICA</t>
  </si>
  <si>
    <t xml:space="preserve">        SUECIA</t>
  </si>
  <si>
    <t xml:space="preserve">        TURQUÍA</t>
  </si>
  <si>
    <t xml:space="preserve">        UZBEKISTÁN</t>
  </si>
  <si>
    <t>Martes 22 junio</t>
  </si>
  <si>
    <t>Miércoles 17 junio</t>
  </si>
  <si>
    <t>REP. CHECA</t>
  </si>
  <si>
    <t xml:space="preserve"> REP. CHECA</t>
  </si>
  <si>
    <t xml:space="preserve">REP. CHECA </t>
  </si>
  <si>
    <t>Sedes en México</t>
  </si>
  <si>
    <t>Sedes en Estados Unidos</t>
  </si>
  <si>
    <t>Sedes en Canadá</t>
  </si>
  <si>
    <t>UTC-4</t>
  </si>
  <si>
    <t>UTC+2</t>
  </si>
  <si>
    <t>UTC+1</t>
  </si>
  <si>
    <t>UTC-3</t>
  </si>
  <si>
    <t>UTC-5</t>
  </si>
  <si>
    <t>UTC-6</t>
  </si>
  <si>
    <t>UTC-7</t>
  </si>
  <si>
    <t>Chile</t>
  </si>
  <si>
    <t>España (Península y Baleares)</t>
  </si>
  <si>
    <t>España (Islas Canarias)</t>
  </si>
  <si>
    <t>Argentina</t>
  </si>
  <si>
    <t>Uruguay</t>
  </si>
  <si>
    <t>Paraguay</t>
  </si>
  <si>
    <t>Bolivia</t>
  </si>
  <si>
    <t>Venezuela</t>
  </si>
  <si>
    <t>República Dominicana</t>
  </si>
  <si>
    <t>Puerto Rico</t>
  </si>
  <si>
    <t>Cuba</t>
  </si>
  <si>
    <t>Colombia</t>
  </si>
  <si>
    <t>Ecuador</t>
  </si>
  <si>
    <t>Perú</t>
  </si>
  <si>
    <t>Panamá</t>
  </si>
  <si>
    <t>México (Centro)</t>
  </si>
  <si>
    <t>Costa Rica</t>
  </si>
  <si>
    <t>Guatemala</t>
  </si>
  <si>
    <t>Honduras</t>
  </si>
  <si>
    <t>El Salvador</t>
  </si>
  <si>
    <t>Nicaragua</t>
  </si>
  <si>
    <t>Guinea Ecuatorial</t>
  </si>
  <si>
    <t>México (Quintana Roo)</t>
  </si>
  <si>
    <t>México (Baja California)</t>
  </si>
  <si>
    <r>
      <t>CDMX, Guadalajara y Monterrey</t>
    </r>
    <r>
      <rPr>
        <sz val="12"/>
        <color rgb="FF0A0A0A"/>
        <rFont val="Arial"/>
        <family val="2"/>
      </rPr>
      <t> </t>
    </r>
  </si>
  <si>
    <t>Centro (Dallas, Houston, Kansas City)</t>
  </si>
  <si>
    <t>Montaña (Denver)</t>
  </si>
  <si>
    <t>Costa Este (Nueva York/NJ, Miami, Philadelphia, Atlanta, Boston)</t>
  </si>
  <si>
    <t>Costa Oeste (Los Ángeles, San Francisco, Seattle)</t>
  </si>
  <si>
    <t xml:space="preserve">        REP. CHECA</t>
  </si>
  <si>
    <t xml:space="preserve">        ARABIA SAUDITA</t>
  </si>
  <si>
    <t xml:space="preserve">        COREA del SUR</t>
  </si>
  <si>
    <t xml:space="preserve">        REP. del CONGO</t>
  </si>
  <si>
    <t>ARABIA SAUDITA</t>
  </si>
  <si>
    <t>REP. del CONGO</t>
  </si>
  <si>
    <t>COREA del SUR</t>
  </si>
  <si>
    <t xml:space="preserve">COREA del SUR </t>
  </si>
  <si>
    <t xml:space="preserve"> REP. del CONGO</t>
  </si>
  <si>
    <t xml:space="preserve"> COREA del SUR</t>
  </si>
  <si>
    <t xml:space="preserve"> ARABIA SAUDITA</t>
  </si>
  <si>
    <t xml:space="preserve">REP. del CONGO </t>
  </si>
  <si>
    <t>Estadio Ciudad de México</t>
  </si>
  <si>
    <t>Estadio Guadalajara</t>
  </si>
  <si>
    <t>Estadio de Toronto</t>
  </si>
  <si>
    <t>Estadio Los Angeles</t>
  </si>
  <si>
    <t>Estadio Nueva York/Nueva Jersey</t>
  </si>
  <si>
    <t>Estadio Boston</t>
  </si>
  <si>
    <t>Estadio BC Place Vancouver</t>
  </si>
  <si>
    <t>Estadio Toronto</t>
  </si>
  <si>
    <t>Estadio Bahía de San Francisco</t>
  </si>
  <si>
    <t>Estadio Houston</t>
  </si>
  <si>
    <t>Estadio Dallas</t>
  </si>
  <si>
    <t>Estadio Filadelfia</t>
  </si>
  <si>
    <t>Estadio Monterrey</t>
  </si>
  <si>
    <t>Estadio Atlanta</t>
  </si>
  <si>
    <t>Estadio Seattle</t>
  </si>
  <si>
    <t>Estadio Miami</t>
  </si>
  <si>
    <t>Estadio Kansas City</t>
  </si>
  <si>
    <t>Los Angeles</t>
  </si>
  <si>
    <t>Para que se muestren los horarios del sitio oficial de FIFA (este de Estados Unidos)</t>
  </si>
  <si>
    <t>deja vacía la casilla del horario local.</t>
  </si>
  <si>
    <r>
      <t xml:space="preserve">O búscalos en la tabla de la derecha </t>
    </r>
    <r>
      <rPr>
        <sz val="11"/>
        <color rgb="FF4B811B"/>
        <rFont val="Wingdings"/>
        <charset val="2"/>
      </rPr>
      <t>è</t>
    </r>
  </si>
  <si>
    <t>Guía: UTC de países de
habla hispana</t>
  </si>
  <si>
    <t>Partido</t>
  </si>
  <si>
    <t>Ganador</t>
  </si>
  <si>
    <t>Pero, de ser necesario, puedes determinar el orden manualmente:</t>
  </si>
  <si>
    <t>Las posiciones se resuelven de forma automática en casi todos los casos.</t>
  </si>
  <si>
    <t xml:space="preserve">Primer puesto: </t>
  </si>
  <si>
    <t xml:space="preserve">Segundo puesto: </t>
  </si>
  <si>
    <t xml:space="preserve">Tercer puesto: </t>
  </si>
  <si>
    <t>Final</t>
  </si>
  <si>
    <t>Dieciseisavos</t>
  </si>
  <si>
    <t>Octavos</t>
  </si>
  <si>
    <t>Cuartos</t>
  </si>
  <si>
    <t>Semifinal</t>
  </si>
  <si>
    <t>Tercer puesto</t>
  </si>
  <si>
    <t>Domingo 28 junio</t>
  </si>
  <si>
    <t>Lunes 29 junio</t>
  </si>
  <si>
    <t>Martes 30 junio</t>
  </si>
  <si>
    <t>Miércoles 01 julio</t>
  </si>
  <si>
    <t>Jueves 02 julio</t>
  </si>
  <si>
    <t>Viernes 03 julio</t>
  </si>
  <si>
    <t>Sábado 04 julio</t>
  </si>
  <si>
    <t>Domingo 05 julio</t>
  </si>
  <si>
    <t>Lunes 06 julio</t>
  </si>
  <si>
    <t>Martes 07 julio</t>
  </si>
  <si>
    <t>Jueves 09 julio</t>
  </si>
  <si>
    <t>Viernes 10 julio</t>
  </si>
  <si>
    <t>Sábado 11 julio</t>
  </si>
  <si>
    <t>Martes 14 julio</t>
  </si>
  <si>
    <t>Miércoles 15 julio</t>
  </si>
  <si>
    <t>Sábado 18 julio</t>
  </si>
  <si>
    <t>Domingo 19 julio</t>
  </si>
  <si>
    <t>Estadio N. York/N. Jersey</t>
  </si>
  <si>
    <t>Sábado 14 junio</t>
  </si>
  <si>
    <t>Martes 17 junio</t>
  </si>
  <si>
    <t>Sábado 21 junio</t>
  </si>
  <si>
    <t>CoefUTCO</t>
  </si>
  <si>
    <t>UTCO</t>
  </si>
  <si>
    <t>HORARIO LOCAL</t>
  </si>
  <si>
    <t>Equipo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</si>
  <si>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</si>
  <si>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</si>
  <si>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</si>
  <si>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</si>
  <si>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</si>
  <si>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</si>
  <si>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</si>
  <si>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</si>
  <si>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</si>
  <si>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</si>
  <si>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</si>
  <si>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</si>
  <si>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1A</t>
  </si>
  <si>
    <t>1B</t>
  </si>
  <si>
    <t>1D</t>
  </si>
  <si>
    <t>1E</t>
  </si>
  <si>
    <t>1G</t>
  </si>
  <si>
    <t>1I</t>
  </si>
  <si>
    <t>1K</t>
  </si>
  <si>
    <t>1L</t>
  </si>
  <si>
    <t>EFGHIJKL</t>
  </si>
  <si>
    <t>DFGHIJKL</t>
  </si>
  <si>
    <t>DEGHIJKL</t>
  </si>
  <si>
    <t>DEFHIJKL</t>
  </si>
  <si>
    <t>DEFGIJKL</t>
  </si>
  <si>
    <t>DEFGHJKL</t>
  </si>
  <si>
    <t>DEFGHIKL</t>
  </si>
  <si>
    <t>DEFGHIJL</t>
  </si>
  <si>
    <t>DEFGHIJK</t>
  </si>
  <si>
    <t>CFGHIJKL</t>
  </si>
  <si>
    <t>CEGHIJKL</t>
  </si>
  <si>
    <t>CEFHIJKL</t>
  </si>
  <si>
    <t>CEFGIJKL</t>
  </si>
  <si>
    <t>CEFGHJKL</t>
  </si>
  <si>
    <t>CEFGHIKL</t>
  </si>
  <si>
    <t>CEFGHIJL</t>
  </si>
  <si>
    <t>CEFGHIJK</t>
  </si>
  <si>
    <t>CDGHIJKL</t>
  </si>
  <si>
    <t>CDFHIJKL</t>
  </si>
  <si>
    <t>CDFGIJKL</t>
  </si>
  <si>
    <t>CDFGHJKL</t>
  </si>
  <si>
    <t>CDFGHIKL</t>
  </si>
  <si>
    <t>CDFGHIJL</t>
  </si>
  <si>
    <t>CDFGHIJK</t>
  </si>
  <si>
    <t>CDEHIJKL</t>
  </si>
  <si>
    <t>CDEGIJKL</t>
  </si>
  <si>
    <t>CDEGHJKL</t>
  </si>
  <si>
    <t>CDEGHIKL</t>
  </si>
  <si>
    <t>CDEGHIJL</t>
  </si>
  <si>
    <t>CDEGHIJK</t>
  </si>
  <si>
    <t>CDEFIJKL</t>
  </si>
  <si>
    <t>CDEFHJKL</t>
  </si>
  <si>
    <t>CDEFHIKL</t>
  </si>
  <si>
    <t>CDEFHIJL</t>
  </si>
  <si>
    <t>CDEFHIJK</t>
  </si>
  <si>
    <t>CDEFGJKL</t>
  </si>
  <si>
    <t>CDEFGIKL</t>
  </si>
  <si>
    <t>CDEFGIJL</t>
  </si>
  <si>
    <t>CDEFGIJK</t>
  </si>
  <si>
    <t>CDEFGHKL</t>
  </si>
  <si>
    <t>CDEFGHJL</t>
  </si>
  <si>
    <t>CDEFGHJK</t>
  </si>
  <si>
    <t>CDEFGHIL</t>
  </si>
  <si>
    <t>CDEFGHIK</t>
  </si>
  <si>
    <t>CDEFGHIJ</t>
  </si>
  <si>
    <t>BFGHIJKL</t>
  </si>
  <si>
    <t>BEGHIJKL</t>
  </si>
  <si>
    <t>BEFHIJKL</t>
  </si>
  <si>
    <t>BEFGIJKL</t>
  </si>
  <si>
    <t>BEFGHJKL</t>
  </si>
  <si>
    <t>BEFGHIKL</t>
  </si>
  <si>
    <t>BEFGHIJL</t>
  </si>
  <si>
    <t>BEFGHIJK</t>
  </si>
  <si>
    <t>BDGHIJKL</t>
  </si>
  <si>
    <t>BDFHIJKL</t>
  </si>
  <si>
    <t>BDFGIJKL</t>
  </si>
  <si>
    <t>BDFGHJKL</t>
  </si>
  <si>
    <t>BDFGHIKL</t>
  </si>
  <si>
    <t>BDFGHIJL</t>
  </si>
  <si>
    <t>BDFGHIJK</t>
  </si>
  <si>
    <t>BDEHIJKL</t>
  </si>
  <si>
    <t>BDEGIJKL</t>
  </si>
  <si>
    <t>BDEGHJKL</t>
  </si>
  <si>
    <t>BDEGHIKL</t>
  </si>
  <si>
    <t>BDEGHIJL</t>
  </si>
  <si>
    <t>BDEGHIJK</t>
  </si>
  <si>
    <t>BDEFIJKL</t>
  </si>
  <si>
    <t>BDEFHJKL</t>
  </si>
  <si>
    <t>BDEFHIKL</t>
  </si>
  <si>
    <t>BDEFHIJL</t>
  </si>
  <si>
    <t>BDEFHIJK</t>
  </si>
  <si>
    <t>BDEFGJKL</t>
  </si>
  <si>
    <t>BDEFGIKL</t>
  </si>
  <si>
    <t>BDEFGIJL</t>
  </si>
  <si>
    <t>BDEFGIJK</t>
  </si>
  <si>
    <t>BDEFGHKL</t>
  </si>
  <si>
    <t>BDEFGHJL</t>
  </si>
  <si>
    <t>BDEFGHJK</t>
  </si>
  <si>
    <t>BDEFGHIL</t>
  </si>
  <si>
    <t>BDEFGHIK</t>
  </si>
  <si>
    <t>BDEFGHIJ</t>
  </si>
  <si>
    <t>BCGHIJKL</t>
  </si>
  <si>
    <t>BCFHIJKL</t>
  </si>
  <si>
    <t>BCFGIJKL</t>
  </si>
  <si>
    <t>BCFGHJKL</t>
  </si>
  <si>
    <t>BCFGHIKL</t>
  </si>
  <si>
    <t>BCFGHIJL</t>
  </si>
  <si>
    <t>BCFGHIJK</t>
  </si>
  <si>
    <t>BCEHIJKL</t>
  </si>
  <si>
    <t>BCEGIJKL</t>
  </si>
  <si>
    <t>BCEGHJKL</t>
  </si>
  <si>
    <t>BCEGHIKL</t>
  </si>
  <si>
    <t>BCEGHIJL</t>
  </si>
  <si>
    <t>BCEGHIJK</t>
  </si>
  <si>
    <t>BCEFIJKL</t>
  </si>
  <si>
    <t>BCEFHJKL</t>
  </si>
  <si>
    <t>BCEFHIKL</t>
  </si>
  <si>
    <t>BCEFHIJL</t>
  </si>
  <si>
    <t>BCEFHIJK</t>
  </si>
  <si>
    <t>BCEFGJKL</t>
  </si>
  <si>
    <t>BCEFGIKL</t>
  </si>
  <si>
    <t>BCEFGIJL</t>
  </si>
  <si>
    <t>BCEFGIJK</t>
  </si>
  <si>
    <t>BCEFGHKL</t>
  </si>
  <si>
    <t>BCEFGHJL</t>
  </si>
  <si>
    <t>BCEFGHJK</t>
  </si>
  <si>
    <t>BCEFGHIL</t>
  </si>
  <si>
    <t>BCEFGHIK</t>
  </si>
  <si>
    <t>BCEFGHIJ</t>
  </si>
  <si>
    <t>BCDHIJKL</t>
  </si>
  <si>
    <t>BCDGIJKL</t>
  </si>
  <si>
    <t>BCDGHJKL</t>
  </si>
  <si>
    <t>BCDGHIKL</t>
  </si>
  <si>
    <t>BCDGHIJL</t>
  </si>
  <si>
    <t>BCDGHIJK</t>
  </si>
  <si>
    <t>BCDFIJKL</t>
  </si>
  <si>
    <t>BCDFHJKL</t>
  </si>
  <si>
    <t>BCDFHIKL</t>
  </si>
  <si>
    <t>BCDFHIJL</t>
  </si>
  <si>
    <t>BCDFHIJK</t>
  </si>
  <si>
    <t>BCDFGJKL</t>
  </si>
  <si>
    <t>BCDFGIKL</t>
  </si>
  <si>
    <t>BCDFGIJL</t>
  </si>
  <si>
    <t>BCDFGIJK</t>
  </si>
  <si>
    <t>BCDFGHKL</t>
  </si>
  <si>
    <t>BCDFGHJL</t>
  </si>
  <si>
    <t>BCDFGHJK</t>
  </si>
  <si>
    <t>BCDFGHIL</t>
  </si>
  <si>
    <t>BCDFGHIK</t>
  </si>
  <si>
    <t>BCDFGHIJ</t>
  </si>
  <si>
    <t>BCDEIJKL</t>
  </si>
  <si>
    <t>BCDEHJKL</t>
  </si>
  <si>
    <t>BCDEHIKL</t>
  </si>
  <si>
    <t>BCDEHIJL</t>
  </si>
  <si>
    <t>BCDEHIJK</t>
  </si>
  <si>
    <t>BCDEGJKL</t>
  </si>
  <si>
    <t>BCDEGIKL</t>
  </si>
  <si>
    <t>BCDEGIJL</t>
  </si>
  <si>
    <t>BCDEGIJK</t>
  </si>
  <si>
    <t>BCDEGHKL</t>
  </si>
  <si>
    <t>BCDEGHJL</t>
  </si>
  <si>
    <t>BCDEGHJK</t>
  </si>
  <si>
    <t>BCDEGHIL</t>
  </si>
  <si>
    <t>BCDEGHIK</t>
  </si>
  <si>
    <t>BCDEGHIJ</t>
  </si>
  <si>
    <t>BCDEFJKL</t>
  </si>
  <si>
    <t>BCDEFIKL</t>
  </si>
  <si>
    <t>BCDEFIJL</t>
  </si>
  <si>
    <t>BCDEFIJK</t>
  </si>
  <si>
    <t>BCDEFHKL</t>
  </si>
  <si>
    <t>BCDEFHJL</t>
  </si>
  <si>
    <t>BCDEFHJK</t>
  </si>
  <si>
    <t>BCDEFHIL</t>
  </si>
  <si>
    <t>BCDEFHIK</t>
  </si>
  <si>
    <t>BCDEFHIJ</t>
  </si>
  <si>
    <t>BCDEFGKL</t>
  </si>
  <si>
    <t>BCDEFGJL</t>
  </si>
  <si>
    <t>BCDEFGJK</t>
  </si>
  <si>
    <t>BCDEFGIL</t>
  </si>
  <si>
    <t>BCDEFGIK</t>
  </si>
  <si>
    <t>BCDEFGIJ</t>
  </si>
  <si>
    <t>BCDEFGHL</t>
  </si>
  <si>
    <t>BCDEFGHK</t>
  </si>
  <si>
    <t>BCDEFGHJ</t>
  </si>
  <si>
    <t>BCDEFGHI</t>
  </si>
  <si>
    <t>AFGHIJKL</t>
  </si>
  <si>
    <t>AEGHIJKL</t>
  </si>
  <si>
    <t>AEFHIJKL</t>
  </si>
  <si>
    <t>AEFGIJKL</t>
  </si>
  <si>
    <t>AEFGHJKL</t>
  </si>
  <si>
    <t>AEFGHIKL</t>
  </si>
  <si>
    <t>AEFGHIJL</t>
  </si>
  <si>
    <t>AEFGHIJK</t>
  </si>
  <si>
    <t>ADGHIJKL</t>
  </si>
  <si>
    <t>ADFHIJKL</t>
  </si>
  <si>
    <t>ADFGIJKL</t>
  </si>
  <si>
    <t>ADFGHJKL</t>
  </si>
  <si>
    <t>ADFGHIKL</t>
  </si>
  <si>
    <t>ADFGHIJL</t>
  </si>
  <si>
    <t>ADFGHIJK</t>
  </si>
  <si>
    <t>ADEHIJKL</t>
  </si>
  <si>
    <t>ADEGIJKL</t>
  </si>
  <si>
    <t>ADEGHJKL</t>
  </si>
  <si>
    <t>ADEGHIKL</t>
  </si>
  <si>
    <t>ADEGHIJL</t>
  </si>
  <si>
    <t>ADEGHIJK</t>
  </si>
  <si>
    <t>ADEFIJKL</t>
  </si>
  <si>
    <t>ADEFHJKL</t>
  </si>
  <si>
    <t>ADEFHIKL</t>
  </si>
  <si>
    <t>ADEFHIJL</t>
  </si>
  <si>
    <t>ADEFHIJK</t>
  </si>
  <si>
    <t>ADEFGJKL</t>
  </si>
  <si>
    <t>ADEFGIKL</t>
  </si>
  <si>
    <t>ADEFGIJL</t>
  </si>
  <si>
    <t>ADEFGIJK</t>
  </si>
  <si>
    <t>ADEFGHKL</t>
  </si>
  <si>
    <t>ADEFGHJL</t>
  </si>
  <si>
    <t>ADEFGHJK</t>
  </si>
  <si>
    <t>ADEFGHIL</t>
  </si>
  <si>
    <t>ADEFGHIK</t>
  </si>
  <si>
    <t>ADEFGHIJ</t>
  </si>
  <si>
    <t>ACGHIJKL</t>
  </si>
  <si>
    <t>ACFHIJKL</t>
  </si>
  <si>
    <t>ACFGIJKL</t>
  </si>
  <si>
    <t>ACFGHJKL</t>
  </si>
  <si>
    <t>ACFGHIKL</t>
  </si>
  <si>
    <t>ACFGHIJL</t>
  </si>
  <si>
    <t>ACFGHIJK</t>
  </si>
  <si>
    <t>ACEHIJKL</t>
  </si>
  <si>
    <t>ACEGIJKL</t>
  </si>
  <si>
    <t>ACEGHJKL</t>
  </si>
  <si>
    <t>ACEGHIKL</t>
  </si>
  <si>
    <t>ACEGHIJL</t>
  </si>
  <si>
    <t>ACEGHIJK</t>
  </si>
  <si>
    <t>ACEFIJKL</t>
  </si>
  <si>
    <t>ACEFHJKL</t>
  </si>
  <si>
    <t>ACEFHIKL</t>
  </si>
  <si>
    <t>ACEFHIJL</t>
  </si>
  <si>
    <t>ACEFHIJK</t>
  </si>
  <si>
    <t>ACEFGJKL</t>
  </si>
  <si>
    <t>ACEFGIKL</t>
  </si>
  <si>
    <t>ACEFGIJL</t>
  </si>
  <si>
    <t>ACEFGIJK</t>
  </si>
  <si>
    <t>ACEFGHKL</t>
  </si>
  <si>
    <t>ACEFGHJL</t>
  </si>
  <si>
    <t>ACEFGHJK</t>
  </si>
  <si>
    <t>ACEFGHIL</t>
  </si>
  <si>
    <t>ACEFGHIK</t>
  </si>
  <si>
    <t>ACEFGHIJ</t>
  </si>
  <si>
    <t>ACDHIJKL</t>
  </si>
  <si>
    <t>ACDGIJKL</t>
  </si>
  <si>
    <t>ACDGHJKL</t>
  </si>
  <si>
    <t>ACDGHIKL</t>
  </si>
  <si>
    <t>ACDGHIJL</t>
  </si>
  <si>
    <t>ACDGHIJK</t>
  </si>
  <si>
    <t>ACDFIJKL</t>
  </si>
  <si>
    <t>ACDFHJKL</t>
  </si>
  <si>
    <t>ACDFHIKL</t>
  </si>
  <si>
    <t>ACDFHIJL</t>
  </si>
  <si>
    <t>ACDFHIJK</t>
  </si>
  <si>
    <t>ACDFGJKL</t>
  </si>
  <si>
    <t>ACDFGIKL</t>
  </si>
  <si>
    <t>ACDFGIJL</t>
  </si>
  <si>
    <t>ACDFGIJK</t>
  </si>
  <si>
    <t>ACDFGHKL</t>
  </si>
  <si>
    <t>ACDFGHJL</t>
  </si>
  <si>
    <t>ACDFGHJK</t>
  </si>
  <si>
    <t>ACDFGHIL</t>
  </si>
  <si>
    <t>ACDFGHIK</t>
  </si>
  <si>
    <t>ACDFGHIJ</t>
  </si>
  <si>
    <t>ACDEIJKL</t>
  </si>
  <si>
    <t>ACDEHJKL</t>
  </si>
  <si>
    <t>ACDEHIKL</t>
  </si>
  <si>
    <t>ACDEHIJL</t>
  </si>
  <si>
    <t>ACDEHIJK</t>
  </si>
  <si>
    <t>ACDEGJKL</t>
  </si>
  <si>
    <t>ACDEGIKL</t>
  </si>
  <si>
    <t>ACDEGIJL</t>
  </si>
  <si>
    <t>ACDEGIJK</t>
  </si>
  <si>
    <t>ACDEGHKL</t>
  </si>
  <si>
    <t>ACDEGHJL</t>
  </si>
  <si>
    <t>ACDEGHJK</t>
  </si>
  <si>
    <t>ACDEGHIL</t>
  </si>
  <si>
    <t>ACDEGHIK</t>
  </si>
  <si>
    <t>ACDEGHIJ</t>
  </si>
  <si>
    <t>ACDEFJKL</t>
  </si>
  <si>
    <t>ACDEFIKL</t>
  </si>
  <si>
    <t>ACDEFIJL</t>
  </si>
  <si>
    <t>ACDEFIJK</t>
  </si>
  <si>
    <t>ACDEFHKL</t>
  </si>
  <si>
    <t>ACDEFHJL</t>
  </si>
  <si>
    <t>ACDEFHJK</t>
  </si>
  <si>
    <t>ACDEFHIL</t>
  </si>
  <si>
    <t>ACDEFHIK</t>
  </si>
  <si>
    <t>ACDEFHIJ</t>
  </si>
  <si>
    <t>ACDEFGKL</t>
  </si>
  <si>
    <t>ACDEFGJL</t>
  </si>
  <si>
    <t>ACDEFGJK</t>
  </si>
  <si>
    <t>ACDEFGIL</t>
  </si>
  <si>
    <t>ACDEFGIK</t>
  </si>
  <si>
    <t>ACDEFGIJ</t>
  </si>
  <si>
    <t>ACDEFGHL</t>
  </si>
  <si>
    <t>ACDEFGHK</t>
  </si>
  <si>
    <t>ACDEFGHJ</t>
  </si>
  <si>
    <t>ACDEFGHI</t>
  </si>
  <si>
    <t>ABGHIJKL</t>
  </si>
  <si>
    <t>ABFHIJKL</t>
  </si>
  <si>
    <t>ABFGIJKL</t>
  </si>
  <si>
    <t>ABFGHJKL</t>
  </si>
  <si>
    <t>ABFGHIKL</t>
  </si>
  <si>
    <t>ABFGHIJL</t>
  </si>
  <si>
    <t>ABFGHIJK</t>
  </si>
  <si>
    <t>ABEHIJKL</t>
  </si>
  <si>
    <t>ABEGIJKL</t>
  </si>
  <si>
    <t>ABEGHJKL</t>
  </si>
  <si>
    <t>ABEGHIKL</t>
  </si>
  <si>
    <t>ABEGHIJL</t>
  </si>
  <si>
    <t>ABEGHIJK</t>
  </si>
  <si>
    <t>ABEFIJKL</t>
  </si>
  <si>
    <t>ABEFHJKL</t>
  </si>
  <si>
    <t>ABEFHIKL</t>
  </si>
  <si>
    <t>ABEFHIJL</t>
  </si>
  <si>
    <t>ABEFHIJK</t>
  </si>
  <si>
    <t>ABEFGJKL</t>
  </si>
  <si>
    <t>ABEFGIKL</t>
  </si>
  <si>
    <t>ABEFGIJL</t>
  </si>
  <si>
    <t>ABEFGIJK</t>
  </si>
  <si>
    <t>ABEFGHKL</t>
  </si>
  <si>
    <t>ABEFGHJL</t>
  </si>
  <si>
    <t>ABEFGHJK</t>
  </si>
  <si>
    <t>ABEFGHIL</t>
  </si>
  <si>
    <t>ABEFGHIK</t>
  </si>
  <si>
    <t>ABEFGHIJ</t>
  </si>
  <si>
    <t>ABDHIJKL</t>
  </si>
  <si>
    <t>ABDGIJKL</t>
  </si>
  <si>
    <t>ABDGHJKL</t>
  </si>
  <si>
    <t>ABDGHIKL</t>
  </si>
  <si>
    <t>ABDGHIJL</t>
  </si>
  <si>
    <t>ABDGHIJK</t>
  </si>
  <si>
    <t>ABDFIJKL</t>
  </si>
  <si>
    <t>ABDFHJKL</t>
  </si>
  <si>
    <t>ABDFHIKL</t>
  </si>
  <si>
    <t>ABDFHIJL</t>
  </si>
  <si>
    <t>ABDFHIJK</t>
  </si>
  <si>
    <t>ABDFGJKL</t>
  </si>
  <si>
    <t>ABDFGIKL</t>
  </si>
  <si>
    <t>ABDFGIJL</t>
  </si>
  <si>
    <t>ABDFGIJK</t>
  </si>
  <si>
    <t>ABDFGHKL</t>
  </si>
  <si>
    <t>ABDFGHJL</t>
  </si>
  <si>
    <t>ABDFGHJK</t>
  </si>
  <si>
    <t>ABDFGHIL</t>
  </si>
  <si>
    <t>ABDFGHIK</t>
  </si>
  <si>
    <t>ABDFGHIJ</t>
  </si>
  <si>
    <t>ABDEIJKL</t>
  </si>
  <si>
    <t>ABDEHJKL</t>
  </si>
  <si>
    <t>ABDEHIKL</t>
  </si>
  <si>
    <t>ABDEHIJL</t>
  </si>
  <si>
    <t>ABDEHIJK</t>
  </si>
  <si>
    <t>ABDEGJKL</t>
  </si>
  <si>
    <t>ABDEGIKL</t>
  </si>
  <si>
    <t>ABDEGIJL</t>
  </si>
  <si>
    <t>ABDEGIJK</t>
  </si>
  <si>
    <t>ABDEGHKL</t>
  </si>
  <si>
    <t>ABDEGHJL</t>
  </si>
  <si>
    <t>ABDEGHJK</t>
  </si>
  <si>
    <t>ABDEGHIL</t>
  </si>
  <si>
    <t>ABDEGHIK</t>
  </si>
  <si>
    <t>ABDEGHIJ</t>
  </si>
  <si>
    <t>ABDEFJKL</t>
  </si>
  <si>
    <t>ABDEFIKL</t>
  </si>
  <si>
    <t>ABDEFIJL</t>
  </si>
  <si>
    <t>ABDEFIJK</t>
  </si>
  <si>
    <t>ABDEFHKL</t>
  </si>
  <si>
    <t>ABDEFHJL</t>
  </si>
  <si>
    <t>ABDEFHJK</t>
  </si>
  <si>
    <t>ABDEFHIL</t>
  </si>
  <si>
    <t>ABDEFHIK</t>
  </si>
  <si>
    <t>ABDEFHIJ</t>
  </si>
  <si>
    <t>ABDEFGKL</t>
  </si>
  <si>
    <t>ABDEFGJL</t>
  </si>
  <si>
    <t>ABDEFGJK</t>
  </si>
  <si>
    <t>ABDEFGIL</t>
  </si>
  <si>
    <t>ABDEFGIK</t>
  </si>
  <si>
    <t>ABDEFGIJ</t>
  </si>
  <si>
    <t>ABDEFGHL</t>
  </si>
  <si>
    <t>ABDEFGHK</t>
  </si>
  <si>
    <t>ABDEFGHJ</t>
  </si>
  <si>
    <t>ABDEFGHI</t>
  </si>
  <si>
    <t>ABCHIJKL</t>
  </si>
  <si>
    <t>ABCGIJKL</t>
  </si>
  <si>
    <t>ABCGHJKL</t>
  </si>
  <si>
    <t>ABCGHIKL</t>
  </si>
  <si>
    <t>ABCGHIJL</t>
  </si>
  <si>
    <t>ABCGHIJK</t>
  </si>
  <si>
    <t>ABCFIJKL</t>
  </si>
  <si>
    <t>ABCFHJKL</t>
  </si>
  <si>
    <t>ABCFHIKL</t>
  </si>
  <si>
    <t>ABCFHIJL</t>
  </si>
  <si>
    <t>ABCFHIJK</t>
  </si>
  <si>
    <t>ABCFGJKL</t>
  </si>
  <si>
    <t>ABCFGIKL</t>
  </si>
  <si>
    <t>ABCFGIJL</t>
  </si>
  <si>
    <t>ABCFGIJK</t>
  </si>
  <si>
    <t>ABCFGHKL</t>
  </si>
  <si>
    <t>ABCFGHJL</t>
  </si>
  <si>
    <t>ABCFGHJK</t>
  </si>
  <si>
    <t>ABCFGHIL</t>
  </si>
  <si>
    <t>ABCFGHIK</t>
  </si>
  <si>
    <t>ABCFGHIJ</t>
  </si>
  <si>
    <t>ABCEIJKL</t>
  </si>
  <si>
    <t>ABCEHJKL</t>
  </si>
  <si>
    <t>ABCEHIKL</t>
  </si>
  <si>
    <t>ABCEHIJL</t>
  </si>
  <si>
    <t>ABCEHIJK</t>
  </si>
  <si>
    <t>ABCEGJKL</t>
  </si>
  <si>
    <t>ABCEGIKL</t>
  </si>
  <si>
    <t>ABCEGIJL</t>
  </si>
  <si>
    <t>ABCEGIJK</t>
  </si>
  <si>
    <t>ABCEGHKL</t>
  </si>
  <si>
    <t>ABCEGHJL</t>
  </si>
  <si>
    <t>ABCEGHJK</t>
  </si>
  <si>
    <t>ABCEGHIL</t>
  </si>
  <si>
    <t>ABCEGHIK</t>
  </si>
  <si>
    <t>ABCEGHIJ</t>
  </si>
  <si>
    <t>ABCEFJKL</t>
  </si>
  <si>
    <t>ABCEFIKL</t>
  </si>
  <si>
    <t>ABCEFIJL</t>
  </si>
  <si>
    <t>ABCEFIJK</t>
  </si>
  <si>
    <t>ABCEFHKL</t>
  </si>
  <si>
    <t>ABCEFHJL</t>
  </si>
  <si>
    <t>ABCEFHJK</t>
  </si>
  <si>
    <t>ABCEFHIL</t>
  </si>
  <si>
    <t>ABCEFHIK</t>
  </si>
  <si>
    <t>ABCEFHIJ</t>
  </si>
  <si>
    <t>ABCEFGKL</t>
  </si>
  <si>
    <t>ABCEFGJL</t>
  </si>
  <si>
    <t>ABCEFGJK</t>
  </si>
  <si>
    <t>ABCEFGIL</t>
  </si>
  <si>
    <t>ABCEFGIK</t>
  </si>
  <si>
    <t>ABCEFGIJ</t>
  </si>
  <si>
    <t>ABCEFGHL</t>
  </si>
  <si>
    <t>ABCEFGHK</t>
  </si>
  <si>
    <t>ABCEFGHJ</t>
  </si>
  <si>
    <t>ABCEFGHI</t>
  </si>
  <si>
    <t>ABCDIJKL</t>
  </si>
  <si>
    <t>ABCDHJKL</t>
  </si>
  <si>
    <t>ABCDHIKL</t>
  </si>
  <si>
    <t>ABCDHIJL</t>
  </si>
  <si>
    <t>ABCDHIJK</t>
  </si>
  <si>
    <t>ABCDGJKL</t>
  </si>
  <si>
    <t>ABCDGIKL</t>
  </si>
  <si>
    <t>ABCDGIJL</t>
  </si>
  <si>
    <t>ABCDGIJK</t>
  </si>
  <si>
    <t>ABCDGHKL</t>
  </si>
  <si>
    <t>ABCDGHJL</t>
  </si>
  <si>
    <t>ABCDGHJK</t>
  </si>
  <si>
    <t>ABCDGHIL</t>
  </si>
  <si>
    <t>ABCDGHIK</t>
  </si>
  <si>
    <t>ABCDGHIJ</t>
  </si>
  <si>
    <t>ABCDFJKL</t>
  </si>
  <si>
    <t>ABCDFIKL</t>
  </si>
  <si>
    <t>ABCDFIJL</t>
  </si>
  <si>
    <t>ABCDFIJK</t>
  </si>
  <si>
    <t>ABCDFHKL</t>
  </si>
  <si>
    <t>ABCDFHJL</t>
  </si>
  <si>
    <t>ABCDFHJK</t>
  </si>
  <si>
    <t>ABCDFHIL</t>
  </si>
  <si>
    <t>ABCDFHIK</t>
  </si>
  <si>
    <t>ABCDFHIJ</t>
  </si>
  <si>
    <t>ABCDFGKL</t>
  </si>
  <si>
    <t>ABCDFGJL</t>
  </si>
  <si>
    <t>ABCDFGJK</t>
  </si>
  <si>
    <t>ABCDFGIL</t>
  </si>
  <si>
    <t>ABCDFGIK</t>
  </si>
  <si>
    <t>ABCDFGIJ</t>
  </si>
  <si>
    <t>ABCDFGHL</t>
  </si>
  <si>
    <t>ABCDFGHK</t>
  </si>
  <si>
    <t>ABCDFGHJ</t>
  </si>
  <si>
    <t>ABCDFGHI</t>
  </si>
  <si>
    <t>ABCDEJKL</t>
  </si>
  <si>
    <t>ABCDEIKL</t>
  </si>
  <si>
    <t>ABCDEIJL</t>
  </si>
  <si>
    <t>ABCDEIJK</t>
  </si>
  <si>
    <t>ABCDEHKL</t>
  </si>
  <si>
    <t>ABCDEHJL</t>
  </si>
  <si>
    <t>ABCDEHJK</t>
  </si>
  <si>
    <t>ABCDEHIL</t>
  </si>
  <si>
    <t>ABCDEHIK</t>
  </si>
  <si>
    <t>ABCDEHIJ</t>
  </si>
  <si>
    <t>ABCDEGKL</t>
  </si>
  <si>
    <t>ABCDEGJL</t>
  </si>
  <si>
    <t>ABCDEGJK</t>
  </si>
  <si>
    <t>ABCDEGIL</t>
  </si>
  <si>
    <t>ABCDEGIK</t>
  </si>
  <si>
    <t>ABCDEGIJ</t>
  </si>
  <si>
    <t>ABCDEGHL</t>
  </si>
  <si>
    <t>ABCDEGHK</t>
  </si>
  <si>
    <t>ABCDEGHJ</t>
  </si>
  <si>
    <t>ABCDEGHI</t>
  </si>
  <si>
    <t>ABCDEFKL</t>
  </si>
  <si>
    <t>ABCDEFJL</t>
  </si>
  <si>
    <t>ABCDEFJK</t>
  </si>
  <si>
    <t>ABCDEFIL</t>
  </si>
  <si>
    <t>ABCDEFIK</t>
  </si>
  <si>
    <t>ABCDEFIJ</t>
  </si>
  <si>
    <t>ABCDEFHL</t>
  </si>
  <si>
    <t>ABCDEFHK</t>
  </si>
  <si>
    <t>ABCDEFHJ</t>
  </si>
  <si>
    <t>ABCDEFHI</t>
  </si>
  <si>
    <t>ABCDEFGL</t>
  </si>
  <si>
    <t>ABCDEFGK</t>
  </si>
  <si>
    <t>ABCDEFGJ</t>
  </si>
  <si>
    <t>ABCDEFGI</t>
  </si>
  <si>
    <t>ABCDEFGH</t>
  </si>
  <si>
    <t>Orden</t>
  </si>
  <si>
    <t>Pos.</t>
  </si>
  <si>
    <t>Tabla de mejores terceros</t>
  </si>
  <si>
    <t>Combinación</t>
  </si>
  <si>
    <t>Terceros</t>
  </si>
  <si>
    <t>Desempates</t>
  </si>
  <si>
    <t>Las posiciones intentan resolverse de forma automática.</t>
  </si>
  <si>
    <t>Pero, en este caso, es necesario que desempates algunas manualmente.</t>
  </si>
  <si>
    <t>CAMPEÓN del MUNDO 2026</t>
  </si>
  <si>
    <t>Clasificados2</t>
  </si>
  <si>
    <t>Clave</t>
  </si>
  <si>
    <t>Grupo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</si>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</sst>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dddd\ dd\ mmmm"/>
    <numFmt numFmtId="166" formatCode="dddd\ dd\ mmmm\ "/>
  </numFmts>
  <fonts count="76" x14ac:knownFonts="1">
    <font>
      <sz val="11"/>
      <color theme="1"/>
      <name val="Calibri"/>
      <family val="2"/>
      <scheme val="minor"/>
    </font>
    <font>
      <sz val="28"/>
      <name val="Arial"/>
      <family val="2"/>
    </font>
    <font>
      <i/>
      <sz val="14"/>
      <color theme="0"/>
      <name val="Calibri"/>
      <family val="2"/>
      <scheme val="minor"/>
    </font>
    <font>
      <sz val="28"/>
      <color rgb="FF22222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D14F52"/>
      <name val="Calibri"/>
      <family val="2"/>
      <scheme val="minor"/>
    </font>
    <font>
      <i/>
      <sz val="14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8"/>
      <color theme="0"/>
      <name val="Arial"/>
      <family val="2"/>
    </font>
    <font>
      <b/>
      <i/>
      <sz val="18"/>
      <color theme="1" tint="0.249977111117893"/>
      <name val="Arial"/>
      <family val="2"/>
    </font>
    <font>
      <b/>
      <sz val="11"/>
      <color rgb="FF262626"/>
      <name val="Calibri"/>
      <family val="2"/>
      <scheme val="minor"/>
    </font>
    <font>
      <b/>
      <sz val="14"/>
      <color rgb="FF262626"/>
      <name val="Calibri"/>
      <family val="2"/>
      <scheme val="minor"/>
    </font>
    <font>
      <b/>
      <sz val="10"/>
      <color rgb="FF262626"/>
      <name val="Calibri"/>
      <family val="2"/>
      <scheme val="minor"/>
    </font>
    <font>
      <sz val="11"/>
      <color rgb="FF0065B3"/>
      <name val="Calibri"/>
      <family val="2"/>
      <scheme val="minor"/>
    </font>
    <font>
      <sz val="11"/>
      <color rgb="FF262626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262626"/>
      <name val="Calibri"/>
      <family val="2"/>
      <scheme val="minor"/>
    </font>
    <font>
      <sz val="11"/>
      <color rgb="FFF2F2F2"/>
      <name val="Calibri"/>
      <family val="2"/>
      <scheme val="minor"/>
    </font>
    <font>
      <sz val="8"/>
      <color rgb="FF26262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B0EA00"/>
      <name val="Calibri"/>
      <family val="2"/>
      <scheme val="minor"/>
    </font>
    <font>
      <sz val="14"/>
      <color rgb="FFB0EA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A5B0E6"/>
      <name val="Calibri"/>
      <family val="2"/>
      <scheme val="minor"/>
    </font>
    <font>
      <sz val="11"/>
      <color rgb="FFB0EA00"/>
      <name val="Calibri"/>
      <family val="2"/>
      <scheme val="minor"/>
    </font>
    <font>
      <b/>
      <sz val="16"/>
      <color rgb="FFE6FF97"/>
      <name val="Calibri"/>
      <family val="2"/>
      <scheme val="minor"/>
    </font>
    <font>
      <b/>
      <sz val="58"/>
      <color rgb="FFC9201F"/>
      <name val="Calibri"/>
      <family val="2"/>
      <scheme val="minor"/>
    </font>
    <font>
      <b/>
      <i/>
      <sz val="16"/>
      <color rgb="FFC9201F"/>
      <name val="Calibri"/>
      <family val="2"/>
      <scheme val="minor"/>
    </font>
    <font>
      <b/>
      <sz val="58"/>
      <color rgb="FFEDFA4A"/>
      <name val="Calibri"/>
      <family val="2"/>
      <scheme val="minor"/>
    </font>
    <font>
      <b/>
      <i/>
      <sz val="16"/>
      <color rgb="FFEDFA4A"/>
      <name val="Calibri"/>
      <family val="2"/>
      <scheme val="minor"/>
    </font>
    <font>
      <b/>
      <sz val="58"/>
      <color rgb="FFCBDB06"/>
      <name val="Calibri"/>
      <family val="2"/>
      <scheme val="minor"/>
    </font>
    <font>
      <b/>
      <i/>
      <sz val="16"/>
      <color rgb="FFCBDB06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color rgb="FFC9201F"/>
      <name val="Wingdings"/>
      <charset val="2"/>
    </font>
    <font>
      <b/>
      <sz val="58"/>
      <color rgb="FF612FE9"/>
      <name val="Calibri"/>
      <family val="2"/>
      <scheme val="minor"/>
    </font>
    <font>
      <b/>
      <i/>
      <sz val="16"/>
      <color rgb="FF612FE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name val="Arial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B0EA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B0EA00"/>
      <name val="Calibri"/>
      <family val="2"/>
    </font>
    <font>
      <sz val="9"/>
      <color theme="1"/>
      <name val="Calibri"/>
      <family val="2"/>
      <scheme val="minor"/>
    </font>
    <font>
      <sz val="12"/>
      <color rgb="FF0A0A0A"/>
      <name val="Arial"/>
      <family val="2"/>
    </font>
    <font>
      <sz val="11"/>
      <color rgb="FF0A0A0A"/>
      <name val="Calibri"/>
      <family val="2"/>
      <scheme val="minor"/>
    </font>
    <font>
      <b/>
      <sz val="12"/>
      <color rgb="FF0A0A0A"/>
      <name val="Calibri"/>
      <family val="2"/>
      <scheme val="minor"/>
    </font>
    <font>
      <sz val="11"/>
      <color rgb="FF4B811B"/>
      <name val="Wingdings"/>
      <charset val="2"/>
    </font>
    <font>
      <i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A80004"/>
      <name val="Calibri"/>
      <family val="2"/>
      <scheme val="minor"/>
    </font>
    <font>
      <sz val="11"/>
      <color rgb="FFA8000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A80004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</font>
    <font>
      <b/>
      <sz val="22"/>
      <color rgb="FF4B811B"/>
      <name val="Calibri"/>
      <family val="2"/>
      <scheme val="minor"/>
    </font>
    <font>
      <sz val="11"/>
      <color rgb="FF0A0A0A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6A451"/>
        <bgColor indexed="64"/>
      </patternFill>
    </fill>
    <fill>
      <patternFill patternType="solid">
        <fgColor rgb="FFC9201F"/>
        <bgColor indexed="64"/>
      </patternFill>
    </fill>
    <fill>
      <patternFill patternType="solid">
        <fgColor rgb="FF474A4A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E6FF97"/>
        <bgColor indexed="64"/>
      </patternFill>
    </fill>
    <fill>
      <patternFill patternType="solid">
        <fgColor rgb="FFEDFA4A" tint="-0.29999694814905242"/>
        <bgColor indexed="64"/>
      </patternFill>
    </fill>
    <fill>
      <patternFill patternType="solid">
        <fgColor rgb="FFCBDB06"/>
        <bgColor indexed="64"/>
      </patternFill>
    </fill>
    <fill>
      <patternFill patternType="solid">
        <fgColor rgb="FF612FE9"/>
        <bgColor indexed="64"/>
      </patternFill>
    </fill>
    <fill>
      <patternFill patternType="solid">
        <fgColor rgb="FFEDF8C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B0EA00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FFFFFF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FFFF"/>
      </left>
      <right style="thin">
        <color rgb="FFFFFFFF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FFFF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CBDB06"/>
      </left>
      <right style="medium">
        <color rgb="FFCBDB06"/>
      </right>
      <top style="medium">
        <color rgb="FFCBDB06"/>
      </top>
      <bottom/>
      <diagonal/>
    </border>
    <border>
      <left style="medium">
        <color rgb="FFCBDB06"/>
      </left>
      <right style="medium">
        <color rgb="FFCBDB06"/>
      </right>
      <top/>
      <bottom/>
      <diagonal/>
    </border>
    <border>
      <left style="medium">
        <color rgb="FFCBDB06"/>
      </left>
      <right style="medium">
        <color rgb="FFCBDB06"/>
      </right>
      <top/>
      <bottom style="medium">
        <color rgb="FFCBDB06"/>
      </bottom>
      <diagonal/>
    </border>
    <border>
      <left style="thin">
        <color rgb="FFCBDB06"/>
      </left>
      <right/>
      <top style="thin">
        <color rgb="FFCBDB06"/>
      </top>
      <bottom/>
      <diagonal/>
    </border>
    <border>
      <left/>
      <right/>
      <top style="thin">
        <color rgb="FFCBDB06"/>
      </top>
      <bottom/>
      <diagonal/>
    </border>
    <border>
      <left/>
      <right style="thin">
        <color rgb="FFCBDB06"/>
      </right>
      <top style="thin">
        <color rgb="FFCBDB06"/>
      </top>
      <bottom/>
      <diagonal/>
    </border>
    <border>
      <left style="thin">
        <color rgb="FFCBDB06"/>
      </left>
      <right/>
      <top/>
      <bottom/>
      <diagonal/>
    </border>
    <border>
      <left/>
      <right style="thin">
        <color rgb="FFCBDB06"/>
      </right>
      <top/>
      <bottom/>
      <diagonal/>
    </border>
    <border>
      <left style="thin">
        <color rgb="FFCBDB06"/>
      </left>
      <right/>
      <top/>
      <bottom style="thin">
        <color rgb="FFCBDB06"/>
      </bottom>
      <diagonal/>
    </border>
    <border>
      <left/>
      <right/>
      <top/>
      <bottom style="thin">
        <color rgb="FFCBDB06"/>
      </bottom>
      <diagonal/>
    </border>
    <border>
      <left/>
      <right style="thin">
        <color rgb="FFCBDB06"/>
      </right>
      <top/>
      <bottom style="thin">
        <color rgb="FFCBDB06"/>
      </bottom>
      <diagonal/>
    </border>
    <border>
      <left/>
      <right/>
      <top style="thin">
        <color theme="0" tint="-0.34998626667073579"/>
      </top>
      <bottom style="thin">
        <color rgb="FF474A4A"/>
      </bottom>
      <diagonal/>
    </border>
    <border>
      <left style="medium">
        <color rgb="FF474A4A"/>
      </left>
      <right style="medium">
        <color rgb="FF474A4A"/>
      </right>
      <top style="medium">
        <color rgb="FF474A4A"/>
      </top>
      <bottom style="medium">
        <color rgb="FF474A4A"/>
      </bottom>
      <diagonal/>
    </border>
    <border>
      <left style="medium">
        <color rgb="FF474A4A"/>
      </left>
      <right style="medium">
        <color rgb="FF474A4A"/>
      </right>
      <top style="medium">
        <color rgb="FF474A4A"/>
      </top>
      <bottom/>
      <diagonal/>
    </border>
    <border>
      <left style="medium">
        <color rgb="FF474A4A"/>
      </left>
      <right style="medium">
        <color rgb="FF474A4A"/>
      </right>
      <top/>
      <bottom/>
      <diagonal/>
    </border>
    <border>
      <left style="medium">
        <color rgb="FF474A4A"/>
      </left>
      <right style="medium">
        <color rgb="FF474A4A"/>
      </right>
      <top/>
      <bottom style="medium">
        <color rgb="FF474A4A"/>
      </bottom>
      <diagonal/>
    </border>
    <border>
      <left style="medium">
        <color rgb="FF474A4A"/>
      </left>
      <right style="medium">
        <color rgb="FF474A4A"/>
      </right>
      <top style="thin">
        <color theme="0" tint="-0.499984740745262"/>
      </top>
      <bottom/>
      <diagonal/>
    </border>
    <border>
      <left style="medium">
        <color rgb="FF474A4A"/>
      </left>
      <right/>
      <top style="medium">
        <color rgb="FF474A4A"/>
      </top>
      <bottom/>
      <diagonal/>
    </border>
    <border>
      <left/>
      <right/>
      <top style="medium">
        <color rgb="FF474A4A"/>
      </top>
      <bottom/>
      <diagonal/>
    </border>
    <border>
      <left/>
      <right style="medium">
        <color rgb="FF474A4A"/>
      </right>
      <top style="medium">
        <color rgb="FF474A4A"/>
      </top>
      <bottom/>
      <diagonal/>
    </border>
    <border>
      <left style="medium">
        <color rgb="FF474A4A"/>
      </left>
      <right/>
      <top/>
      <bottom/>
      <diagonal/>
    </border>
    <border>
      <left/>
      <right style="medium">
        <color rgb="FF474A4A"/>
      </right>
      <top/>
      <bottom/>
      <diagonal/>
    </border>
    <border>
      <left style="thin">
        <color theme="0" tint="-0.34998626667073579"/>
      </left>
      <right/>
      <top style="thin">
        <color theme="0" tint="-0.14996795556505021"/>
      </top>
      <bottom/>
      <diagonal/>
    </border>
    <border>
      <left style="thin">
        <color theme="0" tint="-0.34998626667073579"/>
      </left>
      <right/>
      <top/>
      <bottom style="thin">
        <color theme="0" tint="-0.1499679555650502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BDB06"/>
      </left>
      <right/>
      <top style="thin">
        <color rgb="FFCBDB06"/>
      </top>
      <bottom style="thin">
        <color rgb="FFCBDB06"/>
      </bottom>
      <diagonal/>
    </border>
    <border>
      <left/>
      <right/>
      <top style="thin">
        <color rgb="FFCBDB06"/>
      </top>
      <bottom style="thin">
        <color rgb="FFCBDB06"/>
      </bottom>
      <diagonal/>
    </border>
    <border>
      <left/>
      <right style="thin">
        <color rgb="FFCBDB06"/>
      </right>
      <top style="thin">
        <color rgb="FFCBDB06"/>
      </top>
      <bottom style="thin">
        <color rgb="FFCBDB06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medium">
        <color rgb="FF474A4A"/>
      </bottom>
      <diagonal/>
    </border>
    <border>
      <left style="medium">
        <color rgb="FF474A4A"/>
      </left>
      <right/>
      <top/>
      <bottom style="medium">
        <color rgb="FF474A4A"/>
      </bottom>
      <diagonal/>
    </border>
    <border>
      <left/>
      <right style="medium">
        <color rgb="FF474A4A"/>
      </right>
      <top/>
      <bottom style="medium">
        <color rgb="FF474A4A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22" fillId="0" borderId="8" xfId="0" applyFont="1" applyBorder="1" applyAlignment="1" applyProtection="1">
      <alignment horizontal="center" vertical="center"/>
      <protection locked="0"/>
    </xf>
    <xf numFmtId="0" fontId="0" fillId="7" borderId="3" xfId="0" applyFill="1" applyBorder="1"/>
    <xf numFmtId="0" fontId="0" fillId="7" borderId="11" xfId="0" applyFill="1" applyBorder="1"/>
    <xf numFmtId="0" fontId="0" fillId="7" borderId="5" xfId="0" applyFill="1" applyBorder="1"/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2" xfId="0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6" xfId="0" applyFill="1" applyBorder="1"/>
    <xf numFmtId="0" fontId="25" fillId="0" borderId="0" xfId="0" applyFont="1" applyAlignment="1">
      <alignment vertical="center"/>
    </xf>
    <xf numFmtId="0" fontId="30" fillId="0" borderId="0" xfId="0" applyFont="1"/>
    <xf numFmtId="0" fontId="20" fillId="7" borderId="0" xfId="0" applyFont="1" applyFill="1"/>
    <xf numFmtId="0" fontId="21" fillId="0" borderId="0" xfId="0" applyFont="1" applyAlignment="1">
      <alignment vertical="center"/>
    </xf>
    <xf numFmtId="0" fontId="17" fillId="7" borderId="0" xfId="0" applyFont="1" applyFill="1"/>
    <xf numFmtId="0" fontId="31" fillId="0" borderId="0" xfId="0" applyFont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top" wrapText="1"/>
    </xf>
    <xf numFmtId="0" fontId="23" fillId="6" borderId="16" xfId="0" applyFont="1" applyFill="1" applyBorder="1" applyAlignment="1">
      <alignment horizontal="center" vertical="center"/>
    </xf>
    <xf numFmtId="0" fontId="23" fillId="6" borderId="17" xfId="0" applyFont="1" applyFill="1" applyBorder="1" applyAlignment="1">
      <alignment horizontal="center" vertical="center"/>
    </xf>
    <xf numFmtId="0" fontId="23" fillId="6" borderId="18" xfId="0" applyFont="1" applyFill="1" applyBorder="1" applyAlignment="1">
      <alignment horizontal="center" vertical="center"/>
    </xf>
    <xf numFmtId="0" fontId="7" fillId="6" borderId="3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17" fillId="12" borderId="22" xfId="0" applyFont="1" applyFill="1" applyBorder="1"/>
    <xf numFmtId="0" fontId="17" fillId="12" borderId="23" xfId="0" applyFont="1" applyFill="1" applyBorder="1"/>
    <xf numFmtId="0" fontId="17" fillId="12" borderId="24" xfId="0" applyFont="1" applyFill="1" applyBorder="1"/>
    <xf numFmtId="0" fontId="17" fillId="12" borderId="25" xfId="0" applyFont="1" applyFill="1" applyBorder="1"/>
    <xf numFmtId="0" fontId="17" fillId="12" borderId="26" xfId="0" applyFont="1" applyFill="1" applyBorder="1"/>
    <xf numFmtId="0" fontId="17" fillId="12" borderId="27" xfId="0" applyFont="1" applyFill="1" applyBorder="1"/>
    <xf numFmtId="0" fontId="17" fillId="12" borderId="28" xfId="0" applyFont="1" applyFill="1" applyBorder="1"/>
    <xf numFmtId="0" fontId="17" fillId="12" borderId="29" xfId="0" applyFont="1" applyFill="1" applyBorder="1"/>
    <xf numFmtId="0" fontId="24" fillId="6" borderId="32" xfId="0" applyFont="1" applyFill="1" applyBorder="1" applyAlignment="1">
      <alignment horizontal="center" vertical="center"/>
    </xf>
    <xf numFmtId="0" fontId="23" fillId="6" borderId="32" xfId="0" applyFont="1" applyFill="1" applyBorder="1" applyAlignment="1">
      <alignment horizontal="center" vertical="center"/>
    </xf>
    <xf numFmtId="0" fontId="24" fillId="6" borderId="31" xfId="0" applyFont="1" applyFill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6" fillId="7" borderId="13" xfId="0" applyFont="1" applyFill="1" applyBorder="1"/>
    <xf numFmtId="0" fontId="46" fillId="7" borderId="6" xfId="0" applyFont="1" applyFill="1" applyBorder="1"/>
    <xf numFmtId="0" fontId="47" fillId="7" borderId="6" xfId="0" applyFont="1" applyFill="1" applyBorder="1"/>
    <xf numFmtId="0" fontId="46" fillId="7" borderId="12" xfId="0" applyFont="1" applyFill="1" applyBorder="1"/>
    <xf numFmtId="0" fontId="46" fillId="7" borderId="5" xfId="0" applyFont="1" applyFill="1" applyBorder="1"/>
    <xf numFmtId="0" fontId="48" fillId="7" borderId="0" xfId="0" applyFont="1" applyFill="1"/>
    <xf numFmtId="0" fontId="49" fillId="7" borderId="0" xfId="0" applyFont="1" applyFill="1"/>
    <xf numFmtId="0" fontId="50" fillId="7" borderId="0" xfId="0" applyFont="1" applyFill="1" applyProtection="1">
      <protection locked="0"/>
    </xf>
    <xf numFmtId="0" fontId="48" fillId="7" borderId="0" xfId="0" applyFont="1" applyFill="1" applyAlignment="1">
      <alignment horizontal="center"/>
    </xf>
    <xf numFmtId="20" fontId="48" fillId="7" borderId="0" xfId="0" applyNumberFormat="1" applyFont="1" applyFill="1" applyAlignment="1">
      <alignment horizontal="center"/>
    </xf>
    <xf numFmtId="0" fontId="51" fillId="7" borderId="0" xfId="0" applyFont="1" applyFill="1"/>
    <xf numFmtId="0" fontId="46" fillId="7" borderId="11" xfId="0" applyFont="1" applyFill="1" applyBorder="1"/>
    <xf numFmtId="0" fontId="46" fillId="7" borderId="0" xfId="0" applyFont="1" applyFill="1" applyAlignment="1">
      <alignment vertical="center"/>
    </xf>
    <xf numFmtId="0" fontId="49" fillId="7" borderId="0" xfId="0" applyFont="1" applyFill="1" applyAlignment="1">
      <alignment vertical="center"/>
    </xf>
    <xf numFmtId="0" fontId="46" fillId="7" borderId="0" xfId="0" applyFont="1" applyFill="1" applyAlignment="1">
      <alignment horizontal="center" vertical="center"/>
    </xf>
    <xf numFmtId="0" fontId="49" fillId="7" borderId="0" xfId="0" applyFont="1" applyFill="1" applyAlignment="1">
      <alignment horizontal="right" vertical="center"/>
    </xf>
    <xf numFmtId="0" fontId="47" fillId="7" borderId="0" xfId="0" applyFont="1" applyFill="1" applyAlignment="1">
      <alignment vertical="center"/>
    </xf>
    <xf numFmtId="0" fontId="52" fillId="7" borderId="0" xfId="0" applyFont="1" applyFill="1" applyAlignment="1">
      <alignment vertical="center"/>
    </xf>
    <xf numFmtId="0" fontId="46" fillId="7" borderId="10" xfId="0" applyFont="1" applyFill="1" applyBorder="1"/>
    <xf numFmtId="0" fontId="46" fillId="7" borderId="4" xfId="0" applyFont="1" applyFill="1" applyBorder="1"/>
    <xf numFmtId="0" fontId="47" fillId="7" borderId="4" xfId="0" applyFont="1" applyFill="1" applyBorder="1"/>
    <xf numFmtId="0" fontId="46" fillId="7" borderId="9" xfId="0" applyFont="1" applyFill="1" applyBorder="1"/>
    <xf numFmtId="0" fontId="47" fillId="7" borderId="0" xfId="0" applyFont="1" applyFill="1" applyAlignment="1">
      <alignment vertical="top"/>
    </xf>
    <xf numFmtId="0" fontId="52" fillId="7" borderId="0" xfId="0" applyFont="1" applyFill="1" applyAlignment="1">
      <alignment vertical="top"/>
    </xf>
    <xf numFmtId="0" fontId="46" fillId="7" borderId="0" xfId="0" applyFont="1" applyFill="1" applyAlignment="1">
      <alignment vertical="top"/>
    </xf>
    <xf numFmtId="0" fontId="53" fillId="7" borderId="9" xfId="0" applyFont="1" applyFill="1" applyBorder="1" applyAlignment="1">
      <alignment vertical="top"/>
    </xf>
    <xf numFmtId="0" fontId="48" fillId="0" borderId="0" xfId="0" applyFont="1" applyAlignment="1">
      <alignment horizontal="center"/>
    </xf>
    <xf numFmtId="0" fontId="46" fillId="0" borderId="6" xfId="0" applyFont="1" applyBorder="1"/>
    <xf numFmtId="0" fontId="46" fillId="7" borderId="0" xfId="0" applyFont="1" applyFill="1"/>
    <xf numFmtId="0" fontId="47" fillId="7" borderId="0" xfId="0" applyFont="1" applyFill="1"/>
    <xf numFmtId="0" fontId="46" fillId="0" borderId="0" xfId="0" applyFont="1" applyAlignment="1">
      <alignment vertical="center"/>
    </xf>
    <xf numFmtId="0" fontId="46" fillId="7" borderId="5" xfId="0" applyFont="1" applyFill="1" applyBorder="1" applyAlignment="1">
      <alignment vertical="center"/>
    </xf>
    <xf numFmtId="0" fontId="46" fillId="7" borderId="11" xfId="0" applyFont="1" applyFill="1" applyBorder="1" applyAlignment="1">
      <alignment vertical="center"/>
    </xf>
    <xf numFmtId="0" fontId="53" fillId="7" borderId="4" xfId="0" applyFont="1" applyFill="1" applyBorder="1" applyAlignment="1">
      <alignment vertical="top"/>
    </xf>
    <xf numFmtId="0" fontId="48" fillId="7" borderId="6" xfId="0" applyFont="1" applyFill="1" applyBorder="1"/>
    <xf numFmtId="0" fontId="49" fillId="7" borderId="6" xfId="0" applyFont="1" applyFill="1" applyBorder="1"/>
    <xf numFmtId="0" fontId="50" fillId="7" borderId="6" xfId="0" applyFont="1" applyFill="1" applyBorder="1" applyProtection="1">
      <protection locked="0"/>
    </xf>
    <xf numFmtId="0" fontId="48" fillId="7" borderId="6" xfId="0" applyFont="1" applyFill="1" applyBorder="1" applyAlignment="1">
      <alignment horizontal="center"/>
    </xf>
    <xf numFmtId="0" fontId="51" fillId="7" borderId="6" xfId="0" applyFont="1" applyFill="1" applyBorder="1"/>
    <xf numFmtId="0" fontId="46" fillId="7" borderId="41" xfId="0" applyFont="1" applyFill="1" applyBorder="1"/>
    <xf numFmtId="0" fontId="46" fillId="7" borderId="42" xfId="0" applyFont="1" applyFill="1" applyBorder="1"/>
    <xf numFmtId="0" fontId="48" fillId="0" borderId="0" xfId="0" applyFont="1"/>
    <xf numFmtId="0" fontId="48" fillId="7" borderId="5" xfId="0" applyFont="1" applyFill="1" applyBorder="1"/>
    <xf numFmtId="0" fontId="48" fillId="7" borderId="11" xfId="0" applyFont="1" applyFill="1" applyBorder="1"/>
    <xf numFmtId="0" fontId="46" fillId="0" borderId="0" xfId="0" applyFont="1" applyAlignment="1">
      <alignment vertical="top"/>
    </xf>
    <xf numFmtId="0" fontId="46" fillId="7" borderId="5" xfId="0" applyFont="1" applyFill="1" applyBorder="1" applyAlignment="1">
      <alignment vertical="top"/>
    </xf>
    <xf numFmtId="0" fontId="46" fillId="7" borderId="11" xfId="0" applyFont="1" applyFill="1" applyBorder="1" applyAlignment="1">
      <alignment vertical="top"/>
    </xf>
    <xf numFmtId="164" fontId="0" fillId="0" borderId="0" xfId="0" applyNumberFormat="1" applyAlignment="1">
      <alignment vertical="center"/>
    </xf>
    <xf numFmtId="0" fontId="0" fillId="0" borderId="8" xfId="0" applyBorder="1" applyAlignment="1">
      <alignment vertical="center"/>
    </xf>
    <xf numFmtId="14" fontId="0" fillId="0" borderId="8" xfId="0" applyNumberFormat="1" applyBorder="1" applyAlignment="1">
      <alignment vertical="center"/>
    </xf>
    <xf numFmtId="20" fontId="46" fillId="0" borderId="8" xfId="0" applyNumberFormat="1" applyFont="1" applyBorder="1" applyAlignment="1">
      <alignment vertical="center"/>
    </xf>
    <xf numFmtId="0" fontId="46" fillId="0" borderId="8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20" fontId="46" fillId="0" borderId="1" xfId="0" applyNumberFormat="1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7" fillId="6" borderId="0" xfId="0" applyFont="1" applyFill="1"/>
    <xf numFmtId="165" fontId="54" fillId="7" borderId="4" xfId="0" applyNumberFormat="1" applyFont="1" applyFill="1" applyBorder="1" applyAlignment="1">
      <alignment horizontal="left" vertical="top"/>
    </xf>
    <xf numFmtId="165" fontId="54" fillId="7" borderId="9" xfId="0" applyNumberFormat="1" applyFont="1" applyFill="1" applyBorder="1" applyAlignment="1">
      <alignment horizontal="left" vertical="top"/>
    </xf>
    <xf numFmtId="165" fontId="54" fillId="7" borderId="10" xfId="0" applyNumberFormat="1" applyFont="1" applyFill="1" applyBorder="1" applyAlignment="1">
      <alignment horizontal="left" vertical="top"/>
    </xf>
    <xf numFmtId="0" fontId="59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17" fillId="12" borderId="46" xfId="0" applyFont="1" applyFill="1" applyBorder="1"/>
    <xf numFmtId="0" fontId="41" fillId="12" borderId="47" xfId="0" applyFont="1" applyFill="1" applyBorder="1" applyAlignment="1">
      <alignment horizontal="left"/>
    </xf>
    <xf numFmtId="0" fontId="17" fillId="12" borderId="47" xfId="0" applyFont="1" applyFill="1" applyBorder="1" applyAlignment="1">
      <alignment horizontal="center"/>
    </xf>
    <xf numFmtId="0" fontId="17" fillId="12" borderId="48" xfId="0" applyFont="1" applyFill="1" applyBorder="1"/>
    <xf numFmtId="0" fontId="17" fillId="0" borderId="46" xfId="0" applyFont="1" applyBorder="1"/>
    <xf numFmtId="0" fontId="41" fillId="0" borderId="47" xfId="0" applyFont="1" applyBorder="1" applyAlignment="1">
      <alignment horizontal="left"/>
    </xf>
    <xf numFmtId="0" fontId="17" fillId="0" borderId="47" xfId="0" applyFont="1" applyBorder="1" applyAlignment="1">
      <alignment horizontal="center"/>
    </xf>
    <xf numFmtId="0" fontId="17" fillId="0" borderId="48" xfId="0" applyFont="1" applyBorder="1"/>
    <xf numFmtId="0" fontId="17" fillId="12" borderId="47" xfId="0" applyFont="1" applyFill="1" applyBorder="1"/>
    <xf numFmtId="0" fontId="17" fillId="0" borderId="48" xfId="0" applyFont="1" applyBorder="1" applyAlignment="1">
      <alignment horizontal="center"/>
    </xf>
    <xf numFmtId="0" fontId="17" fillId="0" borderId="47" xfId="0" applyFont="1" applyBorder="1"/>
    <xf numFmtId="0" fontId="0" fillId="0" borderId="8" xfId="0" applyBorder="1" applyAlignment="1">
      <alignment horizontal="center" vertical="center"/>
    </xf>
    <xf numFmtId="0" fontId="60" fillId="6" borderId="0" xfId="0" applyFont="1" applyFill="1" applyAlignment="1">
      <alignment horizontal="center" vertical="center"/>
    </xf>
    <xf numFmtId="165" fontId="54" fillId="7" borderId="4" xfId="0" applyNumberFormat="1" applyFont="1" applyFill="1" applyBorder="1" applyAlignment="1">
      <alignment vertical="top"/>
    </xf>
    <xf numFmtId="0" fontId="57" fillId="0" borderId="0" xfId="0" applyFont="1"/>
    <xf numFmtId="0" fontId="0" fillId="0" borderId="49" xfId="0" applyBorder="1"/>
    <xf numFmtId="0" fontId="0" fillId="0" borderId="50" xfId="0" applyBorder="1"/>
    <xf numFmtId="0" fontId="0" fillId="0" borderId="0" xfId="0" applyAlignment="1">
      <alignment horizontal="center" vertical="center"/>
    </xf>
    <xf numFmtId="0" fontId="63" fillId="0" borderId="8" xfId="0" applyFont="1" applyBorder="1" applyAlignment="1">
      <alignment horizontal="left" vertical="center" wrapText="1" indent="1"/>
    </xf>
    <xf numFmtId="0" fontId="4" fillId="7" borderId="8" xfId="0" applyFont="1" applyFill="1" applyBorder="1" applyAlignment="1">
      <alignment horizontal="center" vertical="center"/>
    </xf>
    <xf numFmtId="0" fontId="64" fillId="7" borderId="8" xfId="0" applyFont="1" applyFill="1" applyBorder="1" applyAlignment="1">
      <alignment horizontal="left" vertical="center" wrapText="1" indent="1"/>
    </xf>
    <xf numFmtId="0" fontId="61" fillId="0" borderId="50" xfId="0" applyFont="1" applyBorder="1"/>
    <xf numFmtId="0" fontId="17" fillId="12" borderId="0" xfId="0" applyFont="1" applyFill="1"/>
    <xf numFmtId="0" fontId="57" fillId="0" borderId="49" xfId="0" applyFont="1" applyBorder="1" applyAlignment="1">
      <alignment vertical="top"/>
    </xf>
    <xf numFmtId="0" fontId="4" fillId="7" borderId="8" xfId="0" applyFont="1" applyFill="1" applyBorder="1" applyAlignment="1">
      <alignment horizontal="left" wrapText="1" indent="1"/>
    </xf>
    <xf numFmtId="0" fontId="7" fillId="0" borderId="0" xfId="0" applyFont="1" applyAlignment="1">
      <alignment horizontal="center"/>
    </xf>
    <xf numFmtId="0" fontId="66" fillId="0" borderId="0" xfId="0" applyFont="1" applyAlignment="1">
      <alignment horizontal="right"/>
    </xf>
    <xf numFmtId="0" fontId="18" fillId="0" borderId="0" xfId="0" applyFont="1"/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/>
    <xf numFmtId="0" fontId="61" fillId="0" borderId="0" xfId="0" applyFont="1" applyAlignment="1">
      <alignment vertical="center"/>
    </xf>
    <xf numFmtId="0" fontId="67" fillId="0" borderId="0" xfId="0" applyFont="1" applyAlignment="1">
      <alignment horizontal="center" vertical="center"/>
    </xf>
    <xf numFmtId="0" fontId="18" fillId="0" borderId="6" xfId="0" applyFont="1" applyBorder="1"/>
    <xf numFmtId="0" fontId="61" fillId="0" borderId="11" xfId="0" applyFont="1" applyBorder="1" applyAlignment="1">
      <alignment vertical="center"/>
    </xf>
    <xf numFmtId="0" fontId="61" fillId="0" borderId="5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6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2" fontId="69" fillId="0" borderId="0" xfId="0" applyNumberFormat="1" applyFont="1"/>
    <xf numFmtId="0" fontId="68" fillId="0" borderId="0" xfId="0" applyFont="1" applyAlignment="1">
      <alignment horizontal="right"/>
    </xf>
    <xf numFmtId="166" fontId="0" fillId="0" borderId="8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22" fontId="0" fillId="0" borderId="2" xfId="0" applyNumberFormat="1" applyBorder="1" applyAlignment="1">
      <alignment vertical="center"/>
    </xf>
    <xf numFmtId="0" fontId="0" fillId="2" borderId="8" xfId="0" applyFill="1" applyBorder="1" applyAlignment="1">
      <alignment vertical="center"/>
    </xf>
    <xf numFmtId="22" fontId="0" fillId="0" borderId="8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22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14" borderId="0" xfId="0" applyFill="1"/>
    <xf numFmtId="0" fontId="10" fillId="6" borderId="43" xfId="0" applyFont="1" applyFill="1" applyBorder="1" applyAlignment="1">
      <alignment vertical="center"/>
    </xf>
    <xf numFmtId="0" fontId="10" fillId="6" borderId="44" xfId="0" applyFont="1" applyFill="1" applyBorder="1" applyAlignment="1">
      <alignment vertical="center"/>
    </xf>
    <xf numFmtId="0" fontId="10" fillId="6" borderId="45" xfId="0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70" fillId="6" borderId="0" xfId="0" applyFont="1" applyFill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0" xfId="0" applyFont="1"/>
    <xf numFmtId="0" fontId="10" fillId="0" borderId="5" xfId="0" applyFont="1" applyBorder="1"/>
    <xf numFmtId="0" fontId="0" fillId="0" borderId="0" xfId="0" applyAlignment="1">
      <alignment vertical="center"/>
    </xf>
    <xf numFmtId="0" fontId="70" fillId="6" borderId="8" xfId="0" applyFont="1" applyFill="1" applyBorder="1" applyAlignment="1">
      <alignment horizontal="center" vertical="center"/>
    </xf>
    <xf numFmtId="0" fontId="75" fillId="15" borderId="8" xfId="0" applyFont="1" applyFill="1" applyBorder="1" applyAlignment="1">
      <alignment horizontal="center" vertical="center" wrapText="1"/>
    </xf>
    <xf numFmtId="0" fontId="24" fillId="6" borderId="17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0" fillId="7" borderId="0" xfId="0" applyFill="1" applyAlignment="1">
      <alignment horizontal="center"/>
    </xf>
    <xf numFmtId="0" fontId="27" fillId="7" borderId="0" xfId="0" applyFont="1" applyFill="1" applyAlignment="1">
      <alignment horizontal="left"/>
    </xf>
    <xf numFmtId="0" fontId="13" fillId="7" borderId="3" xfId="0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/>
    </xf>
    <xf numFmtId="0" fontId="26" fillId="7" borderId="3" xfId="0" applyFont="1" applyFill="1" applyBorder="1" applyAlignment="1">
      <alignment horizontal="center"/>
    </xf>
    <xf numFmtId="20" fontId="26" fillId="7" borderId="3" xfId="0" applyNumberFormat="1" applyFont="1" applyFill="1" applyBorder="1" applyAlignment="1">
      <alignment horizontal="center"/>
    </xf>
    <xf numFmtId="0" fontId="27" fillId="7" borderId="0" xfId="0" applyFont="1" applyFill="1" applyAlignment="1">
      <alignment horizontal="right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32" fillId="6" borderId="36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/>
    </xf>
    <xf numFmtId="0" fontId="32" fillId="6" borderId="38" xfId="0" applyFont="1" applyFill="1" applyBorder="1" applyAlignment="1">
      <alignment horizontal="center" vertical="center"/>
    </xf>
    <xf numFmtId="0" fontId="32" fillId="6" borderId="39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32" fillId="6" borderId="40" xfId="0" applyFont="1" applyFill="1" applyBorder="1" applyAlignment="1">
      <alignment horizontal="center" vertical="center"/>
    </xf>
    <xf numFmtId="0" fontId="74" fillId="8" borderId="39" xfId="0" applyFont="1" applyFill="1" applyBorder="1" applyAlignment="1">
      <alignment horizontal="center" vertical="center"/>
    </xf>
    <xf numFmtId="0" fontId="74" fillId="8" borderId="0" xfId="0" applyFont="1" applyFill="1" applyAlignment="1">
      <alignment horizontal="center" vertical="center"/>
    </xf>
    <xf numFmtId="0" fontId="74" fillId="8" borderId="40" xfId="0" applyFont="1" applyFill="1" applyBorder="1" applyAlignment="1">
      <alignment horizontal="center" vertical="center"/>
    </xf>
    <xf numFmtId="0" fontId="74" fillId="8" borderId="52" xfId="0" applyFont="1" applyFill="1" applyBorder="1" applyAlignment="1">
      <alignment horizontal="center" vertical="center"/>
    </xf>
    <xf numFmtId="0" fontId="74" fillId="8" borderId="51" xfId="0" applyFont="1" applyFill="1" applyBorder="1" applyAlignment="1">
      <alignment horizontal="center" vertical="center"/>
    </xf>
    <xf numFmtId="0" fontId="74" fillId="8" borderId="53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8" fillId="7" borderId="3" xfId="0" applyFont="1" applyFill="1" applyBorder="1" applyAlignment="1">
      <alignment horizontal="center" wrapText="1"/>
    </xf>
    <xf numFmtId="165" fontId="54" fillId="6" borderId="6" xfId="0" applyNumberFormat="1" applyFont="1" applyFill="1" applyBorder="1" applyAlignment="1">
      <alignment horizontal="left" vertical="top"/>
    </xf>
    <xf numFmtId="0" fontId="56" fillId="0" borderId="7" xfId="0" applyFont="1" applyBorder="1" applyAlignment="1" applyProtection="1">
      <alignment horizontal="center" vertical="center"/>
      <protection locked="0"/>
    </xf>
    <xf numFmtId="0" fontId="56" fillId="0" borderId="15" xfId="0" applyFont="1" applyBorder="1" applyAlignment="1" applyProtection="1">
      <alignment horizontal="center" vertical="center"/>
      <protection locked="0"/>
    </xf>
    <xf numFmtId="20" fontId="52" fillId="7" borderId="0" xfId="0" applyNumberFormat="1" applyFont="1" applyFill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3" fillId="7" borderId="11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0" fillId="13" borderId="7" xfId="0" applyFill="1" applyBorder="1" applyAlignment="1" applyProtection="1">
      <alignment horizontal="center"/>
      <protection locked="0"/>
    </xf>
    <xf numFmtId="0" fontId="0" fillId="13" borderId="14" xfId="0" applyFill="1" applyBorder="1" applyAlignment="1" applyProtection="1">
      <alignment horizontal="center"/>
      <protection locked="0"/>
    </xf>
    <xf numFmtId="0" fontId="0" fillId="13" borderId="15" xfId="0" applyFill="1" applyBorder="1" applyAlignment="1" applyProtection="1">
      <alignment horizontal="center"/>
      <protection locked="0"/>
    </xf>
    <xf numFmtId="0" fontId="15" fillId="7" borderId="3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55" fillId="0" borderId="1" xfId="0" applyFont="1" applyBorder="1" applyAlignment="1" applyProtection="1">
      <alignment horizontal="center" vertical="center"/>
      <protection locked="0"/>
    </xf>
    <xf numFmtId="0" fontId="55" fillId="0" borderId="2" xfId="0" applyFont="1" applyBorder="1" applyAlignment="1" applyProtection="1">
      <alignment horizontal="center" vertical="center"/>
      <protection locked="0"/>
    </xf>
    <xf numFmtId="0" fontId="29" fillId="7" borderId="9" xfId="0" applyFont="1" applyFill="1" applyBorder="1" applyAlignment="1">
      <alignment horizontal="left" vertical="center"/>
    </xf>
    <xf numFmtId="0" fontId="29" fillId="7" borderId="4" xfId="0" applyFont="1" applyFill="1" applyBorder="1" applyAlignment="1">
      <alignment horizontal="left" vertical="center"/>
    </xf>
    <xf numFmtId="0" fontId="29" fillId="7" borderId="11" xfId="0" applyFont="1" applyFill="1" applyBorder="1" applyAlignment="1">
      <alignment horizontal="left" vertical="center"/>
    </xf>
    <xf numFmtId="0" fontId="29" fillId="7" borderId="0" xfId="0" applyFont="1" applyFill="1" applyAlignment="1">
      <alignment horizontal="left" vertical="center"/>
    </xf>
    <xf numFmtId="0" fontId="29" fillId="7" borderId="12" xfId="0" applyFont="1" applyFill="1" applyBorder="1" applyAlignment="1">
      <alignment horizontal="left" vertical="center"/>
    </xf>
    <xf numFmtId="0" fontId="29" fillId="7" borderId="6" xfId="0" applyFont="1" applyFill="1" applyBorder="1" applyAlignment="1">
      <alignment horizontal="left" vertical="center"/>
    </xf>
    <xf numFmtId="0" fontId="45" fillId="12" borderId="8" xfId="0" applyFont="1" applyFill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7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58" fillId="7" borderId="8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/>
    </xf>
    <xf numFmtId="0" fontId="24" fillId="6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57" fillId="0" borderId="0" xfId="0" applyFont="1" applyAlignment="1">
      <alignment horizontal="center"/>
    </xf>
    <xf numFmtId="0" fontId="29" fillId="12" borderId="9" xfId="0" applyFont="1" applyFill="1" applyBorder="1" applyAlignment="1">
      <alignment horizontal="left" vertical="center"/>
    </xf>
    <xf numFmtId="0" fontId="29" fillId="12" borderId="4" xfId="0" applyFont="1" applyFill="1" applyBorder="1" applyAlignment="1">
      <alignment horizontal="left" vertical="center"/>
    </xf>
    <xf numFmtId="0" fontId="29" fillId="12" borderId="10" xfId="0" applyFont="1" applyFill="1" applyBorder="1" applyAlignment="1">
      <alignment horizontal="left" vertical="center"/>
    </xf>
    <xf numFmtId="0" fontId="29" fillId="12" borderId="11" xfId="0" applyFont="1" applyFill="1" applyBorder="1" applyAlignment="1">
      <alignment horizontal="left" vertical="center"/>
    </xf>
    <xf numFmtId="0" fontId="29" fillId="12" borderId="0" xfId="0" applyFont="1" applyFill="1" applyAlignment="1">
      <alignment horizontal="left" vertical="center"/>
    </xf>
    <xf numFmtId="0" fontId="29" fillId="12" borderId="5" xfId="0" applyFont="1" applyFill="1" applyBorder="1" applyAlignment="1">
      <alignment horizontal="left" vertical="center"/>
    </xf>
    <xf numFmtId="0" fontId="29" fillId="12" borderId="12" xfId="0" applyFont="1" applyFill="1" applyBorder="1" applyAlignment="1">
      <alignment horizontal="left" vertical="center"/>
    </xf>
    <xf numFmtId="0" fontId="29" fillId="12" borderId="6" xfId="0" applyFont="1" applyFill="1" applyBorder="1" applyAlignment="1">
      <alignment horizontal="left" vertical="center"/>
    </xf>
    <xf numFmtId="0" fontId="29" fillId="12" borderId="13" xfId="0" applyFont="1" applyFill="1" applyBorder="1" applyAlignment="1">
      <alignment horizontal="left" vertical="center"/>
    </xf>
    <xf numFmtId="0" fontId="58" fillId="12" borderId="8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/>
    </xf>
    <xf numFmtId="0" fontId="29" fillId="12" borderId="3" xfId="0" applyFont="1" applyFill="1" applyBorder="1" applyAlignment="1">
      <alignment horizontal="center" vertical="center"/>
    </xf>
    <xf numFmtId="0" fontId="29" fillId="12" borderId="2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2" fontId="16" fillId="0" borderId="8" xfId="0" applyNumberFormat="1" applyFont="1" applyBorder="1" applyAlignment="1">
      <alignment horizontal="center" vertical="center"/>
    </xf>
    <xf numFmtId="0" fontId="55" fillId="0" borderId="1" xfId="0" applyFont="1" applyBorder="1" applyAlignment="1" applyProtection="1">
      <alignment horizontal="center"/>
      <protection locked="0"/>
    </xf>
    <xf numFmtId="0" fontId="55" fillId="0" borderId="2" xfId="0" applyFont="1" applyBorder="1" applyAlignment="1" applyProtection="1">
      <alignment horizontal="center"/>
      <protection locked="0"/>
    </xf>
    <xf numFmtId="0" fontId="72" fillId="0" borderId="0" xfId="0" applyFont="1" applyAlignment="1">
      <alignment horizontal="center"/>
    </xf>
    <xf numFmtId="0" fontId="71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4" fillId="6" borderId="39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8" fillId="12" borderId="1" xfId="0" applyFont="1" applyFill="1" applyBorder="1" applyAlignment="1">
      <alignment horizontal="center" vertical="center"/>
    </xf>
    <xf numFmtId="0" fontId="58" fillId="12" borderId="3" xfId="0" applyFont="1" applyFill="1" applyBorder="1" applyAlignment="1">
      <alignment horizontal="center" vertical="center"/>
    </xf>
    <xf numFmtId="0" fontId="58" fillId="12" borderId="2" xfId="0" applyFont="1" applyFill="1" applyBorder="1" applyAlignment="1">
      <alignment horizontal="center" vertical="center"/>
    </xf>
    <xf numFmtId="0" fontId="55" fillId="12" borderId="1" xfId="0" applyFont="1" applyFill="1" applyBorder="1" applyAlignment="1">
      <alignment horizontal="center" vertical="center"/>
    </xf>
    <xf numFmtId="0" fontId="55" fillId="12" borderId="3" xfId="0" applyFont="1" applyFill="1" applyBorder="1" applyAlignment="1">
      <alignment horizontal="center" vertical="center"/>
    </xf>
    <xf numFmtId="0" fontId="55" fillId="12" borderId="2" xfId="0" applyFont="1" applyFill="1" applyBorder="1" applyAlignment="1">
      <alignment horizontal="center" vertical="center"/>
    </xf>
    <xf numFmtId="0" fontId="57" fillId="0" borderId="6" xfId="0" applyFont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7" borderId="4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72" fillId="0" borderId="0" xfId="0" applyFont="1" applyAlignment="1">
      <alignment wrapText="1"/>
    </xf>
    <xf numFmtId="0" fontId="72" fillId="0" borderId="0" xfId="0" applyFont="1" applyAlignment="1">
      <alignment vertical="top" wrapText="1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13" borderId="3" xfId="0" applyFill="1" applyBorder="1" applyAlignment="1" applyProtection="1">
      <alignment horizontal="center" vertical="center"/>
      <protection locked="0"/>
    </xf>
    <xf numFmtId="0" fontId="0" fillId="13" borderId="2" xfId="0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40" fillId="12" borderId="20" xfId="0" applyFont="1" applyFill="1" applyBorder="1" applyAlignment="1">
      <alignment horizontal="center" vertical="top" wrapText="1"/>
    </xf>
    <xf numFmtId="0" fontId="40" fillId="12" borderId="21" xfId="0" applyFont="1" applyFill="1" applyBorder="1" applyAlignment="1">
      <alignment horizontal="center" vertical="top" wrapText="1"/>
    </xf>
    <xf numFmtId="0" fontId="38" fillId="5" borderId="20" xfId="0" applyFont="1" applyFill="1" applyBorder="1" applyAlignment="1">
      <alignment horizontal="center" vertical="center"/>
    </xf>
    <xf numFmtId="0" fontId="43" fillId="9" borderId="20" xfId="0" applyFont="1" applyFill="1" applyBorder="1" applyAlignment="1">
      <alignment horizontal="center" vertical="center"/>
    </xf>
    <xf numFmtId="0" fontId="36" fillId="4" borderId="20" xfId="0" applyFont="1" applyFill="1" applyBorder="1" applyAlignment="1">
      <alignment horizontal="center" vertical="center"/>
    </xf>
    <xf numFmtId="0" fontId="34" fillId="9" borderId="20" xfId="0" applyFont="1" applyFill="1" applyBorder="1" applyAlignment="1">
      <alignment horizontal="center" vertical="center"/>
    </xf>
    <xf numFmtId="0" fontId="38" fillId="11" borderId="20" xfId="0" applyFont="1" applyFill="1" applyBorder="1" applyAlignment="1">
      <alignment horizontal="center" vertical="center"/>
    </xf>
    <xf numFmtId="0" fontId="33" fillId="9" borderId="19" xfId="0" applyFont="1" applyFill="1" applyBorder="1" applyAlignment="1">
      <alignment horizontal="center" vertical="center"/>
    </xf>
    <xf numFmtId="0" fontId="33" fillId="9" borderId="20" xfId="0" applyFont="1" applyFill="1" applyBorder="1" applyAlignment="1">
      <alignment horizontal="center" vertical="center"/>
    </xf>
    <xf numFmtId="0" fontId="37" fillId="5" borderId="19" xfId="0" applyFont="1" applyFill="1" applyBorder="1" applyAlignment="1">
      <alignment horizontal="center" vertical="center"/>
    </xf>
    <xf numFmtId="0" fontId="37" fillId="5" borderId="20" xfId="0" applyFont="1" applyFill="1" applyBorder="1" applyAlignment="1">
      <alignment horizontal="center" vertical="center"/>
    </xf>
    <xf numFmtId="0" fontId="42" fillId="10" borderId="19" xfId="0" applyFont="1" applyFill="1" applyBorder="1" applyAlignment="1">
      <alignment horizontal="center" vertical="center"/>
    </xf>
    <xf numFmtId="0" fontId="42" fillId="10" borderId="20" xfId="0" applyFont="1" applyFill="1" applyBorder="1" applyAlignment="1">
      <alignment horizontal="center" vertical="center"/>
    </xf>
    <xf numFmtId="0" fontId="37" fillId="11" borderId="19" xfId="0" applyFont="1" applyFill="1" applyBorder="1" applyAlignment="1">
      <alignment horizontal="center" vertical="center"/>
    </xf>
    <xf numFmtId="0" fontId="37" fillId="11" borderId="20" xfId="0" applyFont="1" applyFill="1" applyBorder="1" applyAlignment="1">
      <alignment horizontal="center" vertical="center"/>
    </xf>
    <xf numFmtId="0" fontId="35" fillId="4" borderId="19" xfId="0" applyFont="1" applyFill="1" applyBorder="1" applyAlignment="1">
      <alignment horizontal="center" vertical="center"/>
    </xf>
    <xf numFmtId="0" fontId="35" fillId="4" borderId="20" xfId="0" applyFont="1" applyFill="1" applyBorder="1" applyAlignment="1">
      <alignment horizontal="center" vertical="center"/>
    </xf>
  </cellXfs>
  <cellStyles count="1">
    <cellStyle name="Normal" xfId="0" builtinId="0"/>
  </cellStyles>
  <dxfs count="506">
    <dxf>
      <font>
        <b/>
        <i/>
        <color rgb="FFB91114"/>
      </font>
    </dxf>
    <dxf>
      <font>
        <b val="0"/>
        <i/>
        <color rgb="FFB91114"/>
      </font>
    </dxf>
    <dxf>
      <font>
        <b val="0"/>
        <i/>
        <color rgb="FFB91114"/>
      </font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</dxf>
    <dxf>
      <font>
        <color theme="0"/>
      </font>
    </dxf>
    <dxf>
      <font>
        <color theme="6" tint="0.79998168889431442"/>
      </font>
    </dxf>
    <dxf>
      <font>
        <color rgb="FFA80004"/>
      </font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ont>
        <b val="0"/>
        <i/>
        <color rgb="FFB91114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rgb="FFB91114"/>
      </font>
      <fill>
        <patternFill patternType="none">
          <bgColor auto="1"/>
        </patternFill>
      </fill>
    </dxf>
    <dxf>
      <font>
        <color rgb="FF0065B3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474A4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numFmt numFmtId="27" formatCode="d/m/yyyy\ h:mm"/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5" formatCode="h:mm"/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numFmt numFmtId="19" formatCode="d/m/yyyy"/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bottom style="thin">
          <color theme="0" tint="-0.34998626667073579"/>
        </bottom>
      </border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474A4A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B811B"/>
      <color rgb="FFF2F2F2"/>
      <color rgb="FFA80004"/>
      <color rgb="FFFFFFFF"/>
      <color rgb="FFEDF8C4"/>
      <color rgb="FFF8F8F8"/>
      <color rgb="FFCBDB06"/>
      <color rgb="FF474A4A"/>
      <color rgb="FF3052AA"/>
      <color rgb="FF274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'!I8"/><Relationship Id="rId13" Type="http://schemas.openxmlformats.org/officeDocument/2006/relationships/hyperlink" Target="#H!I8"/><Relationship Id="rId18" Type="http://schemas.openxmlformats.org/officeDocument/2006/relationships/hyperlink" Target="#Extra!M12"/><Relationship Id="rId26" Type="http://schemas.openxmlformats.org/officeDocument/2006/relationships/hyperlink" Target="#Ingreso!F9"/><Relationship Id="rId3" Type="http://schemas.openxmlformats.org/officeDocument/2006/relationships/hyperlink" Target="#SEMIFINALES!I8"/><Relationship Id="rId21" Type="http://schemas.openxmlformats.org/officeDocument/2006/relationships/image" Target="../media/image2.png"/><Relationship Id="rId7" Type="http://schemas.openxmlformats.org/officeDocument/2006/relationships/hyperlink" Target="#B!I8"/><Relationship Id="rId12" Type="http://schemas.openxmlformats.org/officeDocument/2006/relationships/hyperlink" Target="#G!I8"/><Relationship Id="rId17" Type="http://schemas.openxmlformats.org/officeDocument/2006/relationships/hyperlink" Target="#L!I8"/><Relationship Id="rId25" Type="http://schemas.openxmlformats.org/officeDocument/2006/relationships/hyperlink" Target="#UTC!C3"/><Relationship Id="rId2" Type="http://schemas.openxmlformats.org/officeDocument/2006/relationships/hyperlink" Target="#A!I8"/><Relationship Id="rId16" Type="http://schemas.openxmlformats.org/officeDocument/2006/relationships/hyperlink" Target="#K!I8"/><Relationship Id="rId20" Type="http://schemas.openxmlformats.org/officeDocument/2006/relationships/hyperlink" Target="https://clasesexcel.com/" TargetMode="External"/><Relationship Id="rId1" Type="http://schemas.openxmlformats.org/officeDocument/2006/relationships/image" Target="../media/image1.jpeg"/><Relationship Id="rId6" Type="http://schemas.openxmlformats.org/officeDocument/2006/relationships/hyperlink" Target="#OCTAVOS!I8"/><Relationship Id="rId11" Type="http://schemas.openxmlformats.org/officeDocument/2006/relationships/hyperlink" Target="#'F'!I8"/><Relationship Id="rId24" Type="http://schemas.openxmlformats.org/officeDocument/2006/relationships/hyperlink" Target="#DIECISEISAVOS!I8"/><Relationship Id="rId5" Type="http://schemas.openxmlformats.org/officeDocument/2006/relationships/hyperlink" Target="#CUARTOS!I8"/><Relationship Id="rId15" Type="http://schemas.openxmlformats.org/officeDocument/2006/relationships/hyperlink" Target="#J!I8"/><Relationship Id="rId23" Type="http://schemas.openxmlformats.org/officeDocument/2006/relationships/hyperlink" Target="https://clasesexcel.com/contacto/" TargetMode="External"/><Relationship Id="rId28" Type="http://schemas.openxmlformats.org/officeDocument/2006/relationships/image" Target="../media/image3.png"/><Relationship Id="rId10" Type="http://schemas.openxmlformats.org/officeDocument/2006/relationships/hyperlink" Target="#E!I8"/><Relationship Id="rId19" Type="http://schemas.openxmlformats.org/officeDocument/2006/relationships/hyperlink" Target="https://clasesexcel.com/descarga-el-fixture-interactivo-del-mundial-fifa-2026-gratis/" TargetMode="External"/><Relationship Id="rId4" Type="http://schemas.openxmlformats.org/officeDocument/2006/relationships/hyperlink" Target="#FINAL!A1"/><Relationship Id="rId9" Type="http://schemas.openxmlformats.org/officeDocument/2006/relationships/hyperlink" Target="#D!I8"/><Relationship Id="rId14" Type="http://schemas.openxmlformats.org/officeDocument/2006/relationships/hyperlink" Target="#I!I8"/><Relationship Id="rId22" Type="http://schemas.openxmlformats.org/officeDocument/2006/relationships/hyperlink" Target="https://digitalhub.fifa.com/m/636f5c9c6f29771f/original/FWC2026_regulations_EN.pdf" TargetMode="External"/><Relationship Id="rId27" Type="http://schemas.openxmlformats.org/officeDocument/2006/relationships/hyperlink" Target="https://clasesexcel.com/colabora-con-clases-excel/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G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'C'!A1"/><Relationship Id="rId7" Type="http://schemas.openxmlformats.org/officeDocument/2006/relationships/image" Target="../media/image29.png"/><Relationship Id="rId12" Type="http://schemas.openxmlformats.org/officeDocument/2006/relationships/image" Target="../media/image46.png"/><Relationship Id="rId17" Type="http://schemas.openxmlformats.org/officeDocument/2006/relationships/hyperlink" Target="#L!A1"/><Relationship Id="rId2" Type="http://schemas.openxmlformats.org/officeDocument/2006/relationships/hyperlink" Target="#B!A1"/><Relationship Id="rId16" Type="http://schemas.openxmlformats.org/officeDocument/2006/relationships/hyperlink" Target="#K!A1"/><Relationship Id="rId1" Type="http://schemas.openxmlformats.org/officeDocument/2006/relationships/hyperlink" Target="#A!A1"/><Relationship Id="rId6" Type="http://schemas.openxmlformats.org/officeDocument/2006/relationships/hyperlink" Target="#'F'!A1"/><Relationship Id="rId11" Type="http://schemas.openxmlformats.org/officeDocument/2006/relationships/hyperlink" Target="#UTC!C3"/><Relationship Id="rId5" Type="http://schemas.openxmlformats.org/officeDocument/2006/relationships/hyperlink" Target="#E!A1"/><Relationship Id="rId15" Type="http://schemas.openxmlformats.org/officeDocument/2006/relationships/hyperlink" Target="#J!A1"/><Relationship Id="rId10" Type="http://schemas.openxmlformats.org/officeDocument/2006/relationships/image" Target="../media/image25.png"/><Relationship Id="rId19" Type="http://schemas.openxmlformats.org/officeDocument/2006/relationships/image" Target="../media/image47.jpeg"/><Relationship Id="rId4" Type="http://schemas.openxmlformats.org/officeDocument/2006/relationships/hyperlink" Target="#D!A1"/><Relationship Id="rId9" Type="http://schemas.openxmlformats.org/officeDocument/2006/relationships/image" Target="../media/image28.png"/><Relationship Id="rId14" Type="http://schemas.openxmlformats.org/officeDocument/2006/relationships/hyperlink" Target="#I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4.png"/><Relationship Id="rId13" Type="http://schemas.openxmlformats.org/officeDocument/2006/relationships/hyperlink" Target="#G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'C'!A1"/><Relationship Id="rId7" Type="http://schemas.openxmlformats.org/officeDocument/2006/relationships/image" Target="../media/image63.png"/><Relationship Id="rId12" Type="http://schemas.openxmlformats.org/officeDocument/2006/relationships/image" Target="../media/image46.png"/><Relationship Id="rId17" Type="http://schemas.openxmlformats.org/officeDocument/2006/relationships/hyperlink" Target="#L!A1"/><Relationship Id="rId2" Type="http://schemas.openxmlformats.org/officeDocument/2006/relationships/hyperlink" Target="#B!A1"/><Relationship Id="rId16" Type="http://schemas.openxmlformats.org/officeDocument/2006/relationships/hyperlink" Target="#K!A1"/><Relationship Id="rId1" Type="http://schemas.openxmlformats.org/officeDocument/2006/relationships/hyperlink" Target="#A!A1"/><Relationship Id="rId6" Type="http://schemas.openxmlformats.org/officeDocument/2006/relationships/hyperlink" Target="#'F'!A1"/><Relationship Id="rId11" Type="http://schemas.openxmlformats.org/officeDocument/2006/relationships/hyperlink" Target="#UTC!C3"/><Relationship Id="rId5" Type="http://schemas.openxmlformats.org/officeDocument/2006/relationships/hyperlink" Target="#E!A1"/><Relationship Id="rId15" Type="http://schemas.openxmlformats.org/officeDocument/2006/relationships/hyperlink" Target="#J!A1"/><Relationship Id="rId10" Type="http://schemas.openxmlformats.org/officeDocument/2006/relationships/image" Target="../media/image66.png"/><Relationship Id="rId19" Type="http://schemas.openxmlformats.org/officeDocument/2006/relationships/image" Target="../media/image47.jpeg"/><Relationship Id="rId4" Type="http://schemas.openxmlformats.org/officeDocument/2006/relationships/hyperlink" Target="#D!A1"/><Relationship Id="rId9" Type="http://schemas.openxmlformats.org/officeDocument/2006/relationships/image" Target="../media/image65.png"/><Relationship Id="rId14" Type="http://schemas.openxmlformats.org/officeDocument/2006/relationships/hyperlink" Target="#H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png"/><Relationship Id="rId13" Type="http://schemas.openxmlformats.org/officeDocument/2006/relationships/hyperlink" Target="#G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'C'!A1"/><Relationship Id="rId7" Type="http://schemas.openxmlformats.org/officeDocument/2006/relationships/image" Target="../media/image67.png"/><Relationship Id="rId12" Type="http://schemas.openxmlformats.org/officeDocument/2006/relationships/image" Target="../media/image46.png"/><Relationship Id="rId17" Type="http://schemas.openxmlformats.org/officeDocument/2006/relationships/hyperlink" Target="#L!A1"/><Relationship Id="rId2" Type="http://schemas.openxmlformats.org/officeDocument/2006/relationships/hyperlink" Target="#B!A1"/><Relationship Id="rId16" Type="http://schemas.openxmlformats.org/officeDocument/2006/relationships/hyperlink" Target="#K!A1"/><Relationship Id="rId1" Type="http://schemas.openxmlformats.org/officeDocument/2006/relationships/hyperlink" Target="#A!A1"/><Relationship Id="rId6" Type="http://schemas.openxmlformats.org/officeDocument/2006/relationships/hyperlink" Target="#'F'!A1"/><Relationship Id="rId11" Type="http://schemas.openxmlformats.org/officeDocument/2006/relationships/hyperlink" Target="#UTC!C3"/><Relationship Id="rId5" Type="http://schemas.openxmlformats.org/officeDocument/2006/relationships/hyperlink" Target="#E!A1"/><Relationship Id="rId15" Type="http://schemas.openxmlformats.org/officeDocument/2006/relationships/hyperlink" Target="#I!A1"/><Relationship Id="rId10" Type="http://schemas.openxmlformats.org/officeDocument/2006/relationships/image" Target="../media/image70.png"/><Relationship Id="rId19" Type="http://schemas.openxmlformats.org/officeDocument/2006/relationships/image" Target="../media/image47.jpeg"/><Relationship Id="rId4" Type="http://schemas.openxmlformats.org/officeDocument/2006/relationships/hyperlink" Target="#D!A1"/><Relationship Id="rId9" Type="http://schemas.openxmlformats.org/officeDocument/2006/relationships/image" Target="../media/image69.png"/><Relationship Id="rId14" Type="http://schemas.openxmlformats.org/officeDocument/2006/relationships/hyperlink" Target="#H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png"/><Relationship Id="rId13" Type="http://schemas.openxmlformats.org/officeDocument/2006/relationships/image" Target="../media/image46.png"/><Relationship Id="rId18" Type="http://schemas.openxmlformats.org/officeDocument/2006/relationships/hyperlink" Target="#L!A1"/><Relationship Id="rId3" Type="http://schemas.openxmlformats.org/officeDocument/2006/relationships/hyperlink" Target="#'C'!A1"/><Relationship Id="rId7" Type="http://schemas.openxmlformats.org/officeDocument/2006/relationships/image" Target="../media/image45.png"/><Relationship Id="rId12" Type="http://schemas.openxmlformats.org/officeDocument/2006/relationships/hyperlink" Target="#UTC!C3"/><Relationship Id="rId17" Type="http://schemas.openxmlformats.org/officeDocument/2006/relationships/hyperlink" Target="#J!A1"/><Relationship Id="rId2" Type="http://schemas.openxmlformats.org/officeDocument/2006/relationships/hyperlink" Target="#B!A1"/><Relationship Id="rId16" Type="http://schemas.openxmlformats.org/officeDocument/2006/relationships/hyperlink" Target="#I!A1"/><Relationship Id="rId20" Type="http://schemas.openxmlformats.org/officeDocument/2006/relationships/image" Target="../media/image47.jpeg"/><Relationship Id="rId1" Type="http://schemas.openxmlformats.org/officeDocument/2006/relationships/hyperlink" Target="#A!A1"/><Relationship Id="rId6" Type="http://schemas.openxmlformats.org/officeDocument/2006/relationships/hyperlink" Target="#'F'!A1"/><Relationship Id="rId11" Type="http://schemas.openxmlformats.org/officeDocument/2006/relationships/image" Target="../media/image74.png"/><Relationship Id="rId5" Type="http://schemas.openxmlformats.org/officeDocument/2006/relationships/hyperlink" Target="#E!A1"/><Relationship Id="rId15" Type="http://schemas.openxmlformats.org/officeDocument/2006/relationships/hyperlink" Target="#H!A1"/><Relationship Id="rId10" Type="http://schemas.openxmlformats.org/officeDocument/2006/relationships/image" Target="../media/image73.png"/><Relationship Id="rId19" Type="http://schemas.openxmlformats.org/officeDocument/2006/relationships/hyperlink" Target="http://clasesexcel.com/" TargetMode="External"/><Relationship Id="rId4" Type="http://schemas.openxmlformats.org/officeDocument/2006/relationships/hyperlink" Target="#D!A1"/><Relationship Id="rId9" Type="http://schemas.openxmlformats.org/officeDocument/2006/relationships/image" Target="../media/image72.png"/><Relationship Id="rId14" Type="http://schemas.openxmlformats.org/officeDocument/2006/relationships/hyperlink" Target="#G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png"/><Relationship Id="rId13" Type="http://schemas.openxmlformats.org/officeDocument/2006/relationships/hyperlink" Target="#G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'C'!A1"/><Relationship Id="rId7" Type="http://schemas.openxmlformats.org/officeDocument/2006/relationships/image" Target="../media/image43.png"/><Relationship Id="rId12" Type="http://schemas.openxmlformats.org/officeDocument/2006/relationships/image" Target="../media/image46.png"/><Relationship Id="rId17" Type="http://schemas.openxmlformats.org/officeDocument/2006/relationships/hyperlink" Target="#K!A1"/><Relationship Id="rId2" Type="http://schemas.openxmlformats.org/officeDocument/2006/relationships/hyperlink" Target="#B!A1"/><Relationship Id="rId16" Type="http://schemas.openxmlformats.org/officeDocument/2006/relationships/hyperlink" Target="#J!A1"/><Relationship Id="rId1" Type="http://schemas.openxmlformats.org/officeDocument/2006/relationships/hyperlink" Target="#A!A1"/><Relationship Id="rId6" Type="http://schemas.openxmlformats.org/officeDocument/2006/relationships/hyperlink" Target="#'F'!A1"/><Relationship Id="rId11" Type="http://schemas.openxmlformats.org/officeDocument/2006/relationships/hyperlink" Target="#UTC!C3"/><Relationship Id="rId5" Type="http://schemas.openxmlformats.org/officeDocument/2006/relationships/hyperlink" Target="#E!A1"/><Relationship Id="rId15" Type="http://schemas.openxmlformats.org/officeDocument/2006/relationships/hyperlink" Target="#I!A1"/><Relationship Id="rId10" Type="http://schemas.openxmlformats.org/officeDocument/2006/relationships/image" Target="../media/image41.png"/><Relationship Id="rId19" Type="http://schemas.openxmlformats.org/officeDocument/2006/relationships/image" Target="../media/image47.jpeg"/><Relationship Id="rId4" Type="http://schemas.openxmlformats.org/officeDocument/2006/relationships/hyperlink" Target="#D!A1"/><Relationship Id="rId9" Type="http://schemas.openxmlformats.org/officeDocument/2006/relationships/image" Target="../media/image42.png"/><Relationship Id="rId14" Type="http://schemas.openxmlformats.org/officeDocument/2006/relationships/hyperlink" Target="#H!A1"/></Relationships>
</file>

<file path=xl/drawings/_rels/drawing1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7.emf"/><Relationship Id="rId18" Type="http://schemas.openxmlformats.org/officeDocument/2006/relationships/image" Target="../media/image92.emf"/><Relationship Id="rId26" Type="http://schemas.openxmlformats.org/officeDocument/2006/relationships/image" Target="../media/image100.emf"/><Relationship Id="rId3" Type="http://schemas.openxmlformats.org/officeDocument/2006/relationships/image" Target="../media/image77.emf"/><Relationship Id="rId21" Type="http://schemas.openxmlformats.org/officeDocument/2006/relationships/image" Target="../media/image95.emf"/><Relationship Id="rId34" Type="http://schemas.openxmlformats.org/officeDocument/2006/relationships/image" Target="../media/image104.emf"/><Relationship Id="rId7" Type="http://schemas.openxmlformats.org/officeDocument/2006/relationships/image" Target="../media/image81.emf"/><Relationship Id="rId12" Type="http://schemas.openxmlformats.org/officeDocument/2006/relationships/image" Target="../media/image86.emf"/><Relationship Id="rId17" Type="http://schemas.openxmlformats.org/officeDocument/2006/relationships/image" Target="../media/image91.emf"/><Relationship Id="rId25" Type="http://schemas.openxmlformats.org/officeDocument/2006/relationships/image" Target="../media/image99.emf"/><Relationship Id="rId33" Type="http://schemas.openxmlformats.org/officeDocument/2006/relationships/image" Target="../media/image103.emf"/><Relationship Id="rId2" Type="http://schemas.openxmlformats.org/officeDocument/2006/relationships/image" Target="../media/image76.emf"/><Relationship Id="rId16" Type="http://schemas.openxmlformats.org/officeDocument/2006/relationships/image" Target="../media/image90.emf"/><Relationship Id="rId20" Type="http://schemas.openxmlformats.org/officeDocument/2006/relationships/image" Target="../media/image94.emf"/><Relationship Id="rId29" Type="http://schemas.openxmlformats.org/officeDocument/2006/relationships/image" Target="../media/image46.png"/><Relationship Id="rId1" Type="http://schemas.openxmlformats.org/officeDocument/2006/relationships/image" Target="../media/image75.emf"/><Relationship Id="rId6" Type="http://schemas.openxmlformats.org/officeDocument/2006/relationships/image" Target="../media/image80.emf"/><Relationship Id="rId11" Type="http://schemas.openxmlformats.org/officeDocument/2006/relationships/image" Target="../media/image85.emf"/><Relationship Id="rId24" Type="http://schemas.openxmlformats.org/officeDocument/2006/relationships/image" Target="../media/image98.emf"/><Relationship Id="rId32" Type="http://schemas.openxmlformats.org/officeDocument/2006/relationships/image" Target="../media/image102.emf"/><Relationship Id="rId5" Type="http://schemas.openxmlformats.org/officeDocument/2006/relationships/image" Target="../media/image79.emf"/><Relationship Id="rId15" Type="http://schemas.openxmlformats.org/officeDocument/2006/relationships/image" Target="../media/image89.emf"/><Relationship Id="rId23" Type="http://schemas.openxmlformats.org/officeDocument/2006/relationships/image" Target="../media/image97.emf"/><Relationship Id="rId28" Type="http://schemas.openxmlformats.org/officeDocument/2006/relationships/hyperlink" Target="#UTC!C3"/><Relationship Id="rId36" Type="http://schemas.openxmlformats.org/officeDocument/2006/relationships/image" Target="../media/image106.emf"/><Relationship Id="rId10" Type="http://schemas.openxmlformats.org/officeDocument/2006/relationships/image" Target="../media/image84.emf"/><Relationship Id="rId19" Type="http://schemas.openxmlformats.org/officeDocument/2006/relationships/image" Target="../media/image93.emf"/><Relationship Id="rId31" Type="http://schemas.openxmlformats.org/officeDocument/2006/relationships/image" Target="../media/image47.jpeg"/><Relationship Id="rId4" Type="http://schemas.openxmlformats.org/officeDocument/2006/relationships/image" Target="../media/image78.emf"/><Relationship Id="rId9" Type="http://schemas.openxmlformats.org/officeDocument/2006/relationships/image" Target="../media/image83.emf"/><Relationship Id="rId14" Type="http://schemas.openxmlformats.org/officeDocument/2006/relationships/image" Target="../media/image88.emf"/><Relationship Id="rId22" Type="http://schemas.openxmlformats.org/officeDocument/2006/relationships/image" Target="../media/image96.emf"/><Relationship Id="rId27" Type="http://schemas.openxmlformats.org/officeDocument/2006/relationships/image" Target="../media/image101.emf"/><Relationship Id="rId30" Type="http://schemas.openxmlformats.org/officeDocument/2006/relationships/hyperlink" Target="http://clasesexcel.com/" TargetMode="External"/><Relationship Id="rId35" Type="http://schemas.openxmlformats.org/officeDocument/2006/relationships/image" Target="../media/image105.emf"/><Relationship Id="rId8" Type="http://schemas.openxmlformats.org/officeDocument/2006/relationships/image" Target="../media/image82.emf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6.emf"/><Relationship Id="rId13" Type="http://schemas.openxmlformats.org/officeDocument/2006/relationships/image" Target="../media/image151.emf"/><Relationship Id="rId18" Type="http://schemas.openxmlformats.org/officeDocument/2006/relationships/image" Target="../media/image46.png"/><Relationship Id="rId3" Type="http://schemas.openxmlformats.org/officeDocument/2006/relationships/image" Target="../media/image141.emf"/><Relationship Id="rId7" Type="http://schemas.openxmlformats.org/officeDocument/2006/relationships/image" Target="../media/image145.emf"/><Relationship Id="rId12" Type="http://schemas.openxmlformats.org/officeDocument/2006/relationships/image" Target="../media/image150.emf"/><Relationship Id="rId17" Type="http://schemas.openxmlformats.org/officeDocument/2006/relationships/hyperlink" Target="#UTC!C3"/><Relationship Id="rId2" Type="http://schemas.openxmlformats.org/officeDocument/2006/relationships/image" Target="../media/image140.emf"/><Relationship Id="rId16" Type="http://schemas.openxmlformats.org/officeDocument/2006/relationships/image" Target="../media/image154.emf"/><Relationship Id="rId20" Type="http://schemas.openxmlformats.org/officeDocument/2006/relationships/image" Target="../media/image47.jpeg"/><Relationship Id="rId1" Type="http://schemas.openxmlformats.org/officeDocument/2006/relationships/image" Target="../media/image139.emf"/><Relationship Id="rId6" Type="http://schemas.openxmlformats.org/officeDocument/2006/relationships/image" Target="../media/image144.emf"/><Relationship Id="rId11" Type="http://schemas.openxmlformats.org/officeDocument/2006/relationships/image" Target="../media/image149.emf"/><Relationship Id="rId5" Type="http://schemas.openxmlformats.org/officeDocument/2006/relationships/image" Target="../media/image143.emf"/><Relationship Id="rId15" Type="http://schemas.openxmlformats.org/officeDocument/2006/relationships/image" Target="../media/image153.emf"/><Relationship Id="rId10" Type="http://schemas.openxmlformats.org/officeDocument/2006/relationships/image" Target="../media/image148.emf"/><Relationship Id="rId19" Type="http://schemas.openxmlformats.org/officeDocument/2006/relationships/hyperlink" Target="http://clasesexcel.com/" TargetMode="External"/><Relationship Id="rId4" Type="http://schemas.openxmlformats.org/officeDocument/2006/relationships/image" Target="../media/image142.emf"/><Relationship Id="rId9" Type="http://schemas.openxmlformats.org/officeDocument/2006/relationships/image" Target="../media/image147.emf"/><Relationship Id="rId14" Type="http://schemas.openxmlformats.org/officeDocument/2006/relationships/image" Target="../media/image152.emf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8.emf"/><Relationship Id="rId3" Type="http://schemas.openxmlformats.org/officeDocument/2006/relationships/image" Target="../media/image173.emf"/><Relationship Id="rId7" Type="http://schemas.openxmlformats.org/officeDocument/2006/relationships/image" Target="../media/image177.emf"/><Relationship Id="rId12" Type="http://schemas.openxmlformats.org/officeDocument/2006/relationships/image" Target="../media/image47.jpeg"/><Relationship Id="rId2" Type="http://schemas.openxmlformats.org/officeDocument/2006/relationships/image" Target="../media/image172.emf"/><Relationship Id="rId1" Type="http://schemas.openxmlformats.org/officeDocument/2006/relationships/image" Target="../media/image171.emf"/><Relationship Id="rId6" Type="http://schemas.openxmlformats.org/officeDocument/2006/relationships/image" Target="../media/image176.emf"/><Relationship Id="rId11" Type="http://schemas.openxmlformats.org/officeDocument/2006/relationships/hyperlink" Target="http://clasesexcel.com/" TargetMode="External"/><Relationship Id="rId5" Type="http://schemas.openxmlformats.org/officeDocument/2006/relationships/image" Target="../media/image175.emf"/><Relationship Id="rId10" Type="http://schemas.openxmlformats.org/officeDocument/2006/relationships/image" Target="../media/image46.png"/><Relationship Id="rId4" Type="http://schemas.openxmlformats.org/officeDocument/2006/relationships/image" Target="../media/image174.emf"/><Relationship Id="rId9" Type="http://schemas.openxmlformats.org/officeDocument/2006/relationships/hyperlink" Target="#UTC!C3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1.jpeg"/><Relationship Id="rId3" Type="http://schemas.openxmlformats.org/officeDocument/2006/relationships/image" Target="../media/image189.emf"/><Relationship Id="rId7" Type="http://schemas.openxmlformats.org/officeDocument/2006/relationships/hyperlink" Target="http://clasesexcel.com/" TargetMode="External"/><Relationship Id="rId2" Type="http://schemas.openxmlformats.org/officeDocument/2006/relationships/image" Target="../media/image188.emf"/><Relationship Id="rId1" Type="http://schemas.openxmlformats.org/officeDocument/2006/relationships/image" Target="../media/image187.emf"/><Relationship Id="rId6" Type="http://schemas.openxmlformats.org/officeDocument/2006/relationships/image" Target="../media/image46.png"/><Relationship Id="rId5" Type="http://schemas.openxmlformats.org/officeDocument/2006/relationships/hyperlink" Target="#UTC!C3"/><Relationship Id="rId4" Type="http://schemas.openxmlformats.org/officeDocument/2006/relationships/image" Target="../media/image190.emf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jpeg"/><Relationship Id="rId3" Type="http://schemas.openxmlformats.org/officeDocument/2006/relationships/image" Target="../media/image198.emf"/><Relationship Id="rId7" Type="http://schemas.openxmlformats.org/officeDocument/2006/relationships/hyperlink" Target="http://clasesexcel.com/" TargetMode="External"/><Relationship Id="rId2" Type="http://schemas.openxmlformats.org/officeDocument/2006/relationships/image" Target="../media/image197.emf"/><Relationship Id="rId1" Type="http://schemas.openxmlformats.org/officeDocument/2006/relationships/image" Target="../media/image196.emf"/><Relationship Id="rId6" Type="http://schemas.openxmlformats.org/officeDocument/2006/relationships/image" Target="../media/image46.png"/><Relationship Id="rId5" Type="http://schemas.openxmlformats.org/officeDocument/2006/relationships/hyperlink" Target="#UTC!C3"/><Relationship Id="rId10" Type="http://schemas.openxmlformats.org/officeDocument/2006/relationships/image" Target="../media/image201.emf"/><Relationship Id="rId4" Type="http://schemas.openxmlformats.org/officeDocument/2006/relationships/image" Target="../media/image199.emf"/><Relationship Id="rId9" Type="http://schemas.openxmlformats.org/officeDocument/2006/relationships/image" Target="../media/image200.emf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9.png"/><Relationship Id="rId21" Type="http://schemas.openxmlformats.org/officeDocument/2006/relationships/image" Target="../media/image24.png"/><Relationship Id="rId34" Type="http://schemas.openxmlformats.org/officeDocument/2006/relationships/image" Target="../media/image37.png"/><Relationship Id="rId42" Type="http://schemas.openxmlformats.org/officeDocument/2006/relationships/image" Target="../media/image45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55" Type="http://schemas.openxmlformats.org/officeDocument/2006/relationships/hyperlink" Target="#B!A1"/><Relationship Id="rId63" Type="http://schemas.openxmlformats.org/officeDocument/2006/relationships/hyperlink" Target="#J!A1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6" Type="http://schemas.openxmlformats.org/officeDocument/2006/relationships/image" Target="../media/image19.png"/><Relationship Id="rId29" Type="http://schemas.openxmlformats.org/officeDocument/2006/relationships/image" Target="../media/image32.png"/><Relationship Id="rId11" Type="http://schemas.openxmlformats.org/officeDocument/2006/relationships/image" Target="../media/image14.png"/><Relationship Id="rId24" Type="http://schemas.openxmlformats.org/officeDocument/2006/relationships/image" Target="../media/image27.png"/><Relationship Id="rId32" Type="http://schemas.openxmlformats.org/officeDocument/2006/relationships/image" Target="../media/image35.png"/><Relationship Id="rId37" Type="http://schemas.openxmlformats.org/officeDocument/2006/relationships/image" Target="../media/image40.png"/><Relationship Id="rId40" Type="http://schemas.openxmlformats.org/officeDocument/2006/relationships/image" Target="../media/image43.png"/><Relationship Id="rId45" Type="http://schemas.openxmlformats.org/officeDocument/2006/relationships/hyperlink" Target="http://clasesexcel.com/" TargetMode="External"/><Relationship Id="rId53" Type="http://schemas.openxmlformats.org/officeDocument/2006/relationships/image" Target="../media/image54.png"/><Relationship Id="rId58" Type="http://schemas.openxmlformats.org/officeDocument/2006/relationships/hyperlink" Target="#E!A1"/><Relationship Id="rId5" Type="http://schemas.openxmlformats.org/officeDocument/2006/relationships/image" Target="../media/image8.png"/><Relationship Id="rId61" Type="http://schemas.openxmlformats.org/officeDocument/2006/relationships/hyperlink" Target="#H!A1"/><Relationship Id="rId19" Type="http://schemas.openxmlformats.org/officeDocument/2006/relationships/image" Target="../media/image22.png"/><Relationship Id="rId14" Type="http://schemas.openxmlformats.org/officeDocument/2006/relationships/image" Target="../media/image17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Relationship Id="rId30" Type="http://schemas.openxmlformats.org/officeDocument/2006/relationships/image" Target="../media/image33.png"/><Relationship Id="rId35" Type="http://schemas.openxmlformats.org/officeDocument/2006/relationships/image" Target="../media/image38.png"/><Relationship Id="rId43" Type="http://schemas.openxmlformats.org/officeDocument/2006/relationships/hyperlink" Target="#UTC!C3"/><Relationship Id="rId48" Type="http://schemas.openxmlformats.org/officeDocument/2006/relationships/image" Target="../media/image49.png"/><Relationship Id="rId56" Type="http://schemas.openxmlformats.org/officeDocument/2006/relationships/hyperlink" Target="#'C'!A1"/><Relationship Id="rId64" Type="http://schemas.openxmlformats.org/officeDocument/2006/relationships/hyperlink" Target="#K!A1"/><Relationship Id="rId8" Type="http://schemas.openxmlformats.org/officeDocument/2006/relationships/image" Target="../media/image11.png"/><Relationship Id="rId51" Type="http://schemas.openxmlformats.org/officeDocument/2006/relationships/image" Target="../media/image52.png"/><Relationship Id="rId3" Type="http://schemas.openxmlformats.org/officeDocument/2006/relationships/image" Target="../media/image6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5" Type="http://schemas.openxmlformats.org/officeDocument/2006/relationships/image" Target="../media/image28.png"/><Relationship Id="rId33" Type="http://schemas.openxmlformats.org/officeDocument/2006/relationships/image" Target="../media/image36.png"/><Relationship Id="rId38" Type="http://schemas.openxmlformats.org/officeDocument/2006/relationships/image" Target="../media/image41.png"/><Relationship Id="rId46" Type="http://schemas.openxmlformats.org/officeDocument/2006/relationships/image" Target="../media/image47.jpeg"/><Relationship Id="rId59" Type="http://schemas.openxmlformats.org/officeDocument/2006/relationships/hyperlink" Target="#'F'!A1"/><Relationship Id="rId20" Type="http://schemas.openxmlformats.org/officeDocument/2006/relationships/image" Target="../media/image23.png"/><Relationship Id="rId41" Type="http://schemas.openxmlformats.org/officeDocument/2006/relationships/image" Target="../media/image44.png"/><Relationship Id="rId54" Type="http://schemas.openxmlformats.org/officeDocument/2006/relationships/hyperlink" Target="#A!A1"/><Relationship Id="rId62" Type="http://schemas.openxmlformats.org/officeDocument/2006/relationships/hyperlink" Target="#I!A1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5" Type="http://schemas.openxmlformats.org/officeDocument/2006/relationships/image" Target="../media/image18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39.png"/><Relationship Id="rId49" Type="http://schemas.openxmlformats.org/officeDocument/2006/relationships/image" Target="../media/image50.png"/><Relationship Id="rId57" Type="http://schemas.openxmlformats.org/officeDocument/2006/relationships/hyperlink" Target="#D!A1"/><Relationship Id="rId10" Type="http://schemas.openxmlformats.org/officeDocument/2006/relationships/image" Target="../media/image13.png"/><Relationship Id="rId31" Type="http://schemas.openxmlformats.org/officeDocument/2006/relationships/image" Target="../media/image34.png"/><Relationship Id="rId44" Type="http://schemas.openxmlformats.org/officeDocument/2006/relationships/image" Target="../media/image46.png"/><Relationship Id="rId52" Type="http://schemas.openxmlformats.org/officeDocument/2006/relationships/image" Target="../media/image53.png"/><Relationship Id="rId60" Type="http://schemas.openxmlformats.org/officeDocument/2006/relationships/hyperlink" Target="#G!A1"/><Relationship Id="rId65" Type="http://schemas.openxmlformats.org/officeDocument/2006/relationships/hyperlink" Target="#L!A1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39" Type="http://schemas.openxmlformats.org/officeDocument/2006/relationships/image" Target="../media/image42.pn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9.png"/><Relationship Id="rId18" Type="http://schemas.openxmlformats.org/officeDocument/2006/relationships/image" Target="../media/image32.png"/><Relationship Id="rId26" Type="http://schemas.openxmlformats.org/officeDocument/2006/relationships/image" Target="../media/image230.png"/><Relationship Id="rId39" Type="http://schemas.openxmlformats.org/officeDocument/2006/relationships/image" Target="../media/image242.png"/><Relationship Id="rId21" Type="http://schemas.openxmlformats.org/officeDocument/2006/relationships/image" Target="../media/image225.png"/><Relationship Id="rId34" Type="http://schemas.openxmlformats.org/officeDocument/2006/relationships/image" Target="../media/image237.png"/><Relationship Id="rId42" Type="http://schemas.openxmlformats.org/officeDocument/2006/relationships/image" Target="../media/image245.png"/><Relationship Id="rId47" Type="http://schemas.openxmlformats.org/officeDocument/2006/relationships/image" Target="../media/image250.png"/><Relationship Id="rId50" Type="http://schemas.openxmlformats.org/officeDocument/2006/relationships/hyperlink" Target="http://clasesexcel.com/" TargetMode="External"/><Relationship Id="rId7" Type="http://schemas.openxmlformats.org/officeDocument/2006/relationships/image" Target="../media/image214.png"/><Relationship Id="rId2" Type="http://schemas.openxmlformats.org/officeDocument/2006/relationships/image" Target="../media/image209.png"/><Relationship Id="rId16" Type="http://schemas.openxmlformats.org/officeDocument/2006/relationships/image" Target="../media/image221.png"/><Relationship Id="rId29" Type="http://schemas.openxmlformats.org/officeDocument/2006/relationships/image" Target="../media/image233.png"/><Relationship Id="rId11" Type="http://schemas.openxmlformats.org/officeDocument/2006/relationships/image" Target="../media/image217.png"/><Relationship Id="rId24" Type="http://schemas.openxmlformats.org/officeDocument/2006/relationships/image" Target="../media/image228.png"/><Relationship Id="rId32" Type="http://schemas.openxmlformats.org/officeDocument/2006/relationships/image" Target="../media/image235.png"/><Relationship Id="rId37" Type="http://schemas.openxmlformats.org/officeDocument/2006/relationships/image" Target="../media/image240.png"/><Relationship Id="rId40" Type="http://schemas.openxmlformats.org/officeDocument/2006/relationships/image" Target="../media/image243.png"/><Relationship Id="rId45" Type="http://schemas.openxmlformats.org/officeDocument/2006/relationships/image" Target="../media/image248.png"/><Relationship Id="rId53" Type="http://schemas.openxmlformats.org/officeDocument/2006/relationships/image" Target="../media/image3.png"/><Relationship Id="rId5" Type="http://schemas.openxmlformats.org/officeDocument/2006/relationships/image" Target="../media/image212.png"/><Relationship Id="rId10" Type="http://schemas.openxmlformats.org/officeDocument/2006/relationships/image" Target="../media/image216.png"/><Relationship Id="rId19" Type="http://schemas.openxmlformats.org/officeDocument/2006/relationships/image" Target="../media/image223.png"/><Relationship Id="rId31" Type="http://schemas.openxmlformats.org/officeDocument/2006/relationships/image" Target="../media/image234.png"/><Relationship Id="rId44" Type="http://schemas.openxmlformats.org/officeDocument/2006/relationships/image" Target="../media/image247.png"/><Relationship Id="rId52" Type="http://schemas.openxmlformats.org/officeDocument/2006/relationships/hyperlink" Target="https://clasesexcel.com/colabora-con-clases-excel/" TargetMode="External"/><Relationship Id="rId4" Type="http://schemas.openxmlformats.org/officeDocument/2006/relationships/image" Target="../media/image211.png"/><Relationship Id="rId9" Type="http://schemas.openxmlformats.org/officeDocument/2006/relationships/image" Target="../media/image215.png"/><Relationship Id="rId14" Type="http://schemas.openxmlformats.org/officeDocument/2006/relationships/image" Target="../media/image21.png"/><Relationship Id="rId22" Type="http://schemas.openxmlformats.org/officeDocument/2006/relationships/image" Target="../media/image226.png"/><Relationship Id="rId27" Type="http://schemas.openxmlformats.org/officeDocument/2006/relationships/image" Target="../media/image231.png"/><Relationship Id="rId30" Type="http://schemas.openxmlformats.org/officeDocument/2006/relationships/image" Target="../media/image33.png"/><Relationship Id="rId35" Type="http://schemas.openxmlformats.org/officeDocument/2006/relationships/image" Target="../media/image238.png"/><Relationship Id="rId43" Type="http://schemas.openxmlformats.org/officeDocument/2006/relationships/image" Target="../media/image246.png"/><Relationship Id="rId48" Type="http://schemas.openxmlformats.org/officeDocument/2006/relationships/image" Target="../media/image251.png"/><Relationship Id="rId8" Type="http://schemas.openxmlformats.org/officeDocument/2006/relationships/image" Target="../media/image26.png"/><Relationship Id="rId51" Type="http://schemas.openxmlformats.org/officeDocument/2006/relationships/image" Target="../media/image47.jpeg"/><Relationship Id="rId3" Type="http://schemas.openxmlformats.org/officeDocument/2006/relationships/image" Target="../media/image210.png"/><Relationship Id="rId12" Type="http://schemas.openxmlformats.org/officeDocument/2006/relationships/image" Target="../media/image218.png"/><Relationship Id="rId17" Type="http://schemas.openxmlformats.org/officeDocument/2006/relationships/image" Target="../media/image222.png"/><Relationship Id="rId25" Type="http://schemas.openxmlformats.org/officeDocument/2006/relationships/image" Target="../media/image229.png"/><Relationship Id="rId33" Type="http://schemas.openxmlformats.org/officeDocument/2006/relationships/image" Target="../media/image236.png"/><Relationship Id="rId38" Type="http://schemas.openxmlformats.org/officeDocument/2006/relationships/image" Target="../media/image241.png"/><Relationship Id="rId46" Type="http://schemas.openxmlformats.org/officeDocument/2006/relationships/image" Target="../media/image249.png"/><Relationship Id="rId20" Type="http://schemas.openxmlformats.org/officeDocument/2006/relationships/image" Target="../media/image224.png"/><Relationship Id="rId41" Type="http://schemas.openxmlformats.org/officeDocument/2006/relationships/image" Target="../media/image244.png"/><Relationship Id="rId1" Type="http://schemas.openxmlformats.org/officeDocument/2006/relationships/image" Target="../media/image208.png"/><Relationship Id="rId6" Type="http://schemas.openxmlformats.org/officeDocument/2006/relationships/image" Target="../media/image213.png"/><Relationship Id="rId15" Type="http://schemas.openxmlformats.org/officeDocument/2006/relationships/image" Target="../media/image220.png"/><Relationship Id="rId23" Type="http://schemas.openxmlformats.org/officeDocument/2006/relationships/image" Target="../media/image227.png"/><Relationship Id="rId28" Type="http://schemas.openxmlformats.org/officeDocument/2006/relationships/image" Target="../media/image232.png"/><Relationship Id="rId36" Type="http://schemas.openxmlformats.org/officeDocument/2006/relationships/image" Target="../media/image239.png"/><Relationship Id="rId49" Type="http://schemas.openxmlformats.org/officeDocument/2006/relationships/image" Target="../media/image25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fa.com/es/tournaments/mens/worldcup/canadamexicousa2026/articles/calendario-fixture-mundial-2026-partidos-fechas" TargetMode="External"/><Relationship Id="rId2" Type="http://schemas.openxmlformats.org/officeDocument/2006/relationships/image" Target="../media/image46.png"/><Relationship Id="rId1" Type="http://schemas.openxmlformats.org/officeDocument/2006/relationships/hyperlink" Target="https://upload.wikimedia.org/wikipedia/commons/8/88/World_Time_Zones_Map.png" TargetMode="Externa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http://clasesexcel.com/" TargetMode="External"/><Relationship Id="rId3" Type="http://schemas.openxmlformats.org/officeDocument/2006/relationships/hyperlink" Target="https://clasesexcel.com" TargetMode="External"/><Relationship Id="rId7" Type="http://schemas.openxmlformats.org/officeDocument/2006/relationships/hyperlink" Target="mailto:info@clasesexcel.com?subject=Fixture%20Catar%202022" TargetMode="External"/><Relationship Id="rId2" Type="http://schemas.openxmlformats.org/officeDocument/2006/relationships/hyperlink" Target="https://clasesexcel.com/" TargetMode="External"/><Relationship Id="rId1" Type="http://schemas.openxmlformats.org/officeDocument/2006/relationships/image" Target="../media/image253.png"/><Relationship Id="rId6" Type="http://schemas.openxmlformats.org/officeDocument/2006/relationships/hyperlink" Target="https://clasesexcel.com/contacto/" TargetMode="External"/><Relationship Id="rId11" Type="http://schemas.openxmlformats.org/officeDocument/2006/relationships/image" Target="../media/image3.png"/><Relationship Id="rId5" Type="http://schemas.openxmlformats.org/officeDocument/2006/relationships/hyperlink" Target="https://clasesexcel.com/terminos-y-condiciones-de-uso/" TargetMode="External"/><Relationship Id="rId10" Type="http://schemas.openxmlformats.org/officeDocument/2006/relationships/hyperlink" Target="https://clasesexcel.com/colabora-con-clases-excel/" TargetMode="External"/><Relationship Id="rId4" Type="http://schemas.openxmlformats.org/officeDocument/2006/relationships/hyperlink" Target="http://www.icondrawer.com" TargetMode="External"/><Relationship Id="rId9" Type="http://schemas.openxmlformats.org/officeDocument/2006/relationships/image" Target="../media/image254.png"/></Relationships>
</file>

<file path=xl/drawings/_rels/drawing2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2.png"/><Relationship Id="rId18" Type="http://schemas.openxmlformats.org/officeDocument/2006/relationships/image" Target="../media/image22.png"/><Relationship Id="rId26" Type="http://schemas.openxmlformats.org/officeDocument/2006/relationships/image" Target="../media/image40.png"/><Relationship Id="rId39" Type="http://schemas.openxmlformats.org/officeDocument/2006/relationships/image" Target="../media/image9.png"/><Relationship Id="rId21" Type="http://schemas.openxmlformats.org/officeDocument/2006/relationships/image" Target="../media/image15.png"/><Relationship Id="rId34" Type="http://schemas.openxmlformats.org/officeDocument/2006/relationships/image" Target="../media/image4.png"/><Relationship Id="rId42" Type="http://schemas.openxmlformats.org/officeDocument/2006/relationships/image" Target="../media/image5.png"/><Relationship Id="rId47" Type="http://schemas.openxmlformats.org/officeDocument/2006/relationships/image" Target="../media/image44.png"/><Relationship Id="rId7" Type="http://schemas.openxmlformats.org/officeDocument/2006/relationships/image" Target="../media/image49.png"/><Relationship Id="rId2" Type="http://schemas.openxmlformats.org/officeDocument/2006/relationships/image" Target="../media/image36.png"/><Relationship Id="rId16" Type="http://schemas.openxmlformats.org/officeDocument/2006/relationships/image" Target="../media/image41.png"/><Relationship Id="rId29" Type="http://schemas.openxmlformats.org/officeDocument/2006/relationships/image" Target="../media/image20.png"/><Relationship Id="rId1" Type="http://schemas.openxmlformats.org/officeDocument/2006/relationships/image" Target="../media/image28.png"/><Relationship Id="rId6" Type="http://schemas.openxmlformats.org/officeDocument/2006/relationships/image" Target="../media/image26.png"/><Relationship Id="rId11" Type="http://schemas.openxmlformats.org/officeDocument/2006/relationships/image" Target="../media/image10.png"/><Relationship Id="rId24" Type="http://schemas.openxmlformats.org/officeDocument/2006/relationships/image" Target="../media/image42.png"/><Relationship Id="rId32" Type="http://schemas.openxmlformats.org/officeDocument/2006/relationships/image" Target="../media/image38.png"/><Relationship Id="rId37" Type="http://schemas.openxmlformats.org/officeDocument/2006/relationships/image" Target="../media/image19.png"/><Relationship Id="rId40" Type="http://schemas.openxmlformats.org/officeDocument/2006/relationships/image" Target="../media/image39.png"/><Relationship Id="rId45" Type="http://schemas.openxmlformats.org/officeDocument/2006/relationships/image" Target="../media/image23.png"/><Relationship Id="rId5" Type="http://schemas.openxmlformats.org/officeDocument/2006/relationships/image" Target="../media/image37.png"/><Relationship Id="rId15" Type="http://schemas.openxmlformats.org/officeDocument/2006/relationships/image" Target="../media/image21.png"/><Relationship Id="rId23" Type="http://schemas.openxmlformats.org/officeDocument/2006/relationships/image" Target="../media/image32.png"/><Relationship Id="rId28" Type="http://schemas.openxmlformats.org/officeDocument/2006/relationships/image" Target="../media/image30.png"/><Relationship Id="rId36" Type="http://schemas.openxmlformats.org/officeDocument/2006/relationships/image" Target="../media/image31.png"/><Relationship Id="rId10" Type="http://schemas.openxmlformats.org/officeDocument/2006/relationships/image" Target="../media/image7.png"/><Relationship Id="rId19" Type="http://schemas.openxmlformats.org/officeDocument/2006/relationships/image" Target="../media/image8.png"/><Relationship Id="rId31" Type="http://schemas.openxmlformats.org/officeDocument/2006/relationships/image" Target="../media/image17.png"/><Relationship Id="rId44" Type="http://schemas.openxmlformats.org/officeDocument/2006/relationships/image" Target="../media/image11.png"/><Relationship Id="rId4" Type="http://schemas.openxmlformats.org/officeDocument/2006/relationships/image" Target="../media/image16.png"/><Relationship Id="rId9" Type="http://schemas.openxmlformats.org/officeDocument/2006/relationships/image" Target="../media/image25.png"/><Relationship Id="rId14" Type="http://schemas.openxmlformats.org/officeDocument/2006/relationships/image" Target="../media/image6.png"/><Relationship Id="rId22" Type="http://schemas.openxmlformats.org/officeDocument/2006/relationships/image" Target="../media/image24.png"/><Relationship Id="rId27" Type="http://schemas.openxmlformats.org/officeDocument/2006/relationships/image" Target="../media/image255.png"/><Relationship Id="rId30" Type="http://schemas.openxmlformats.org/officeDocument/2006/relationships/image" Target="../media/image29.png"/><Relationship Id="rId35" Type="http://schemas.openxmlformats.org/officeDocument/2006/relationships/image" Target="../media/image34.png"/><Relationship Id="rId43" Type="http://schemas.openxmlformats.org/officeDocument/2006/relationships/image" Target="../media/image53.png"/><Relationship Id="rId48" Type="http://schemas.openxmlformats.org/officeDocument/2006/relationships/image" Target="../media/image45.png"/><Relationship Id="rId8" Type="http://schemas.openxmlformats.org/officeDocument/2006/relationships/image" Target="../media/image12.png"/><Relationship Id="rId3" Type="http://schemas.openxmlformats.org/officeDocument/2006/relationships/image" Target="../media/image35.png"/><Relationship Id="rId12" Type="http://schemas.openxmlformats.org/officeDocument/2006/relationships/image" Target="../media/image48.png"/><Relationship Id="rId17" Type="http://schemas.openxmlformats.org/officeDocument/2006/relationships/image" Target="../media/image18.png"/><Relationship Id="rId25" Type="http://schemas.openxmlformats.org/officeDocument/2006/relationships/image" Target="../media/image14.png"/><Relationship Id="rId33" Type="http://schemas.openxmlformats.org/officeDocument/2006/relationships/image" Target="../media/image13.png"/><Relationship Id="rId38" Type="http://schemas.openxmlformats.org/officeDocument/2006/relationships/image" Target="../media/image43.png"/><Relationship Id="rId46" Type="http://schemas.openxmlformats.org/officeDocument/2006/relationships/image" Target="../media/image50.png"/><Relationship Id="rId20" Type="http://schemas.openxmlformats.org/officeDocument/2006/relationships/image" Target="../media/image27.png"/><Relationship Id="rId41" Type="http://schemas.openxmlformats.org/officeDocument/2006/relationships/image" Target="../media/image3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H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D!A1"/><Relationship Id="rId7" Type="http://schemas.openxmlformats.org/officeDocument/2006/relationships/image" Target="../media/image48.png"/><Relationship Id="rId12" Type="http://schemas.openxmlformats.org/officeDocument/2006/relationships/hyperlink" Target="#G!A1"/><Relationship Id="rId17" Type="http://schemas.openxmlformats.org/officeDocument/2006/relationships/hyperlink" Target="#L!A1"/><Relationship Id="rId2" Type="http://schemas.openxmlformats.org/officeDocument/2006/relationships/hyperlink" Target="#'C'!A1"/><Relationship Id="rId16" Type="http://schemas.openxmlformats.org/officeDocument/2006/relationships/hyperlink" Target="#K!A1"/><Relationship Id="rId1" Type="http://schemas.openxmlformats.org/officeDocument/2006/relationships/hyperlink" Target="#B!A1"/><Relationship Id="rId6" Type="http://schemas.openxmlformats.org/officeDocument/2006/relationships/image" Target="../media/image4.png"/><Relationship Id="rId11" Type="http://schemas.openxmlformats.org/officeDocument/2006/relationships/image" Target="../media/image46.png"/><Relationship Id="rId5" Type="http://schemas.openxmlformats.org/officeDocument/2006/relationships/hyperlink" Target="#'F'!A1"/><Relationship Id="rId15" Type="http://schemas.openxmlformats.org/officeDocument/2006/relationships/hyperlink" Target="#J!A1"/><Relationship Id="rId10" Type="http://schemas.openxmlformats.org/officeDocument/2006/relationships/hyperlink" Target="#UTC!C3"/><Relationship Id="rId19" Type="http://schemas.openxmlformats.org/officeDocument/2006/relationships/image" Target="../media/image47.jpeg"/><Relationship Id="rId4" Type="http://schemas.openxmlformats.org/officeDocument/2006/relationships/hyperlink" Target="#E!A1"/><Relationship Id="rId9" Type="http://schemas.openxmlformats.org/officeDocument/2006/relationships/image" Target="../media/image5.png"/><Relationship Id="rId14" Type="http://schemas.openxmlformats.org/officeDocument/2006/relationships/hyperlink" Target="#I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hyperlink" Target="#G!A1"/><Relationship Id="rId18" Type="http://schemas.openxmlformats.org/officeDocument/2006/relationships/hyperlink" Target="#L!A1"/><Relationship Id="rId3" Type="http://schemas.openxmlformats.org/officeDocument/2006/relationships/hyperlink" Target="#'C'!A1"/><Relationship Id="rId7" Type="http://schemas.openxmlformats.org/officeDocument/2006/relationships/image" Target="../media/image7.png"/><Relationship Id="rId12" Type="http://schemas.openxmlformats.org/officeDocument/2006/relationships/image" Target="../media/image46.png"/><Relationship Id="rId17" Type="http://schemas.openxmlformats.org/officeDocument/2006/relationships/hyperlink" Target="#K!A1"/><Relationship Id="rId2" Type="http://schemas.openxmlformats.org/officeDocument/2006/relationships/hyperlink" Target="#A!A1"/><Relationship Id="rId16" Type="http://schemas.openxmlformats.org/officeDocument/2006/relationships/hyperlink" Target="#J!A1"/><Relationship Id="rId20" Type="http://schemas.openxmlformats.org/officeDocument/2006/relationships/image" Target="../media/image47.jpeg"/><Relationship Id="rId1" Type="http://schemas.openxmlformats.org/officeDocument/2006/relationships/hyperlink" Target="#UTC!C3"/><Relationship Id="rId6" Type="http://schemas.openxmlformats.org/officeDocument/2006/relationships/hyperlink" Target="#'F'!A1"/><Relationship Id="rId11" Type="http://schemas.openxmlformats.org/officeDocument/2006/relationships/image" Target="../media/image55.png"/><Relationship Id="rId5" Type="http://schemas.openxmlformats.org/officeDocument/2006/relationships/hyperlink" Target="#E!A1"/><Relationship Id="rId15" Type="http://schemas.openxmlformats.org/officeDocument/2006/relationships/hyperlink" Target="#I!A1"/><Relationship Id="rId10" Type="http://schemas.openxmlformats.org/officeDocument/2006/relationships/image" Target="../media/image49.png"/><Relationship Id="rId19" Type="http://schemas.openxmlformats.org/officeDocument/2006/relationships/hyperlink" Target="http://clasesexcel.com/" TargetMode="External"/><Relationship Id="rId4" Type="http://schemas.openxmlformats.org/officeDocument/2006/relationships/hyperlink" Target="#D!A1"/><Relationship Id="rId9" Type="http://schemas.openxmlformats.org/officeDocument/2006/relationships/image" Target="../media/image10.png"/><Relationship Id="rId14" Type="http://schemas.openxmlformats.org/officeDocument/2006/relationships/hyperlink" Target="#H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hyperlink" Target="#H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B!A1"/><Relationship Id="rId7" Type="http://schemas.openxmlformats.org/officeDocument/2006/relationships/image" Target="../media/image12.png"/><Relationship Id="rId12" Type="http://schemas.openxmlformats.org/officeDocument/2006/relationships/hyperlink" Target="#G!A1"/><Relationship Id="rId17" Type="http://schemas.openxmlformats.org/officeDocument/2006/relationships/hyperlink" Target="#L!A1"/><Relationship Id="rId2" Type="http://schemas.openxmlformats.org/officeDocument/2006/relationships/hyperlink" Target="#A!A1"/><Relationship Id="rId16" Type="http://schemas.openxmlformats.org/officeDocument/2006/relationships/hyperlink" Target="#K!A1"/><Relationship Id="rId1" Type="http://schemas.openxmlformats.org/officeDocument/2006/relationships/hyperlink" Target="#UTC!C3"/><Relationship Id="rId6" Type="http://schemas.openxmlformats.org/officeDocument/2006/relationships/hyperlink" Target="#'F'!A1"/><Relationship Id="rId11" Type="http://schemas.openxmlformats.org/officeDocument/2006/relationships/image" Target="../media/image46.png"/><Relationship Id="rId5" Type="http://schemas.openxmlformats.org/officeDocument/2006/relationships/hyperlink" Target="#E!A1"/><Relationship Id="rId15" Type="http://schemas.openxmlformats.org/officeDocument/2006/relationships/hyperlink" Target="#J!A1"/><Relationship Id="rId10" Type="http://schemas.openxmlformats.org/officeDocument/2006/relationships/image" Target="../media/image13.png"/><Relationship Id="rId19" Type="http://schemas.openxmlformats.org/officeDocument/2006/relationships/image" Target="../media/image47.jpeg"/><Relationship Id="rId4" Type="http://schemas.openxmlformats.org/officeDocument/2006/relationships/hyperlink" Target="#D!A1"/><Relationship Id="rId9" Type="http://schemas.openxmlformats.org/officeDocument/2006/relationships/image" Target="../media/image14.png"/><Relationship Id="rId14" Type="http://schemas.openxmlformats.org/officeDocument/2006/relationships/hyperlink" Target="#I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hyperlink" Target="#H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B!A1"/><Relationship Id="rId7" Type="http://schemas.openxmlformats.org/officeDocument/2006/relationships/image" Target="../media/image50.png"/><Relationship Id="rId12" Type="http://schemas.openxmlformats.org/officeDocument/2006/relationships/hyperlink" Target="#G!A1"/><Relationship Id="rId17" Type="http://schemas.openxmlformats.org/officeDocument/2006/relationships/hyperlink" Target="#L!A1"/><Relationship Id="rId2" Type="http://schemas.openxmlformats.org/officeDocument/2006/relationships/hyperlink" Target="#A!A1"/><Relationship Id="rId16" Type="http://schemas.openxmlformats.org/officeDocument/2006/relationships/hyperlink" Target="#K!A1"/><Relationship Id="rId1" Type="http://schemas.openxmlformats.org/officeDocument/2006/relationships/hyperlink" Target="#UTC!C3"/><Relationship Id="rId6" Type="http://schemas.openxmlformats.org/officeDocument/2006/relationships/hyperlink" Target="#'F'!A1"/><Relationship Id="rId11" Type="http://schemas.openxmlformats.org/officeDocument/2006/relationships/image" Target="../media/image46.png"/><Relationship Id="rId5" Type="http://schemas.openxmlformats.org/officeDocument/2006/relationships/hyperlink" Target="#E!A1"/><Relationship Id="rId15" Type="http://schemas.openxmlformats.org/officeDocument/2006/relationships/hyperlink" Target="#J!A1"/><Relationship Id="rId10" Type="http://schemas.openxmlformats.org/officeDocument/2006/relationships/image" Target="../media/image9.png"/><Relationship Id="rId19" Type="http://schemas.openxmlformats.org/officeDocument/2006/relationships/image" Target="../media/image47.jpeg"/><Relationship Id="rId4" Type="http://schemas.openxmlformats.org/officeDocument/2006/relationships/hyperlink" Target="#'C'!A1"/><Relationship Id="rId9" Type="http://schemas.openxmlformats.org/officeDocument/2006/relationships/image" Target="../media/image16.png"/><Relationship Id="rId14" Type="http://schemas.openxmlformats.org/officeDocument/2006/relationships/hyperlink" Target="#I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hyperlink" Target="#H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'C'!A1"/><Relationship Id="rId7" Type="http://schemas.openxmlformats.org/officeDocument/2006/relationships/image" Target="../media/image17.png"/><Relationship Id="rId12" Type="http://schemas.openxmlformats.org/officeDocument/2006/relationships/hyperlink" Target="#G!A1"/><Relationship Id="rId17" Type="http://schemas.openxmlformats.org/officeDocument/2006/relationships/hyperlink" Target="#L!A1"/><Relationship Id="rId2" Type="http://schemas.openxmlformats.org/officeDocument/2006/relationships/hyperlink" Target="#B!A1"/><Relationship Id="rId16" Type="http://schemas.openxmlformats.org/officeDocument/2006/relationships/hyperlink" Target="#K!A1"/><Relationship Id="rId1" Type="http://schemas.openxmlformats.org/officeDocument/2006/relationships/hyperlink" Target="#A!A1"/><Relationship Id="rId6" Type="http://schemas.openxmlformats.org/officeDocument/2006/relationships/image" Target="../media/image22.png"/><Relationship Id="rId11" Type="http://schemas.openxmlformats.org/officeDocument/2006/relationships/image" Target="../media/image46.png"/><Relationship Id="rId5" Type="http://schemas.openxmlformats.org/officeDocument/2006/relationships/hyperlink" Target="#'F'!A1"/><Relationship Id="rId15" Type="http://schemas.openxmlformats.org/officeDocument/2006/relationships/hyperlink" Target="#J!A1"/><Relationship Id="rId10" Type="http://schemas.openxmlformats.org/officeDocument/2006/relationships/hyperlink" Target="#UTC!C3"/><Relationship Id="rId19" Type="http://schemas.openxmlformats.org/officeDocument/2006/relationships/image" Target="../media/image47.jpeg"/><Relationship Id="rId4" Type="http://schemas.openxmlformats.org/officeDocument/2006/relationships/hyperlink" Target="#D!A1"/><Relationship Id="rId9" Type="http://schemas.openxmlformats.org/officeDocument/2006/relationships/image" Target="../media/image18.png"/><Relationship Id="rId14" Type="http://schemas.openxmlformats.org/officeDocument/2006/relationships/hyperlink" Target="#I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13" Type="http://schemas.openxmlformats.org/officeDocument/2006/relationships/hyperlink" Target="#H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'C'!A1"/><Relationship Id="rId7" Type="http://schemas.openxmlformats.org/officeDocument/2006/relationships/image" Target="../media/image57.png"/><Relationship Id="rId12" Type="http://schemas.openxmlformats.org/officeDocument/2006/relationships/hyperlink" Target="#G!A1"/><Relationship Id="rId17" Type="http://schemas.openxmlformats.org/officeDocument/2006/relationships/hyperlink" Target="#L!A1"/><Relationship Id="rId2" Type="http://schemas.openxmlformats.org/officeDocument/2006/relationships/hyperlink" Target="#B!A1"/><Relationship Id="rId16" Type="http://schemas.openxmlformats.org/officeDocument/2006/relationships/hyperlink" Target="#K!A1"/><Relationship Id="rId1" Type="http://schemas.openxmlformats.org/officeDocument/2006/relationships/hyperlink" Target="#A!A1"/><Relationship Id="rId6" Type="http://schemas.openxmlformats.org/officeDocument/2006/relationships/image" Target="../media/image56.png"/><Relationship Id="rId11" Type="http://schemas.openxmlformats.org/officeDocument/2006/relationships/image" Target="../media/image46.png"/><Relationship Id="rId5" Type="http://schemas.openxmlformats.org/officeDocument/2006/relationships/hyperlink" Target="#E!A1"/><Relationship Id="rId15" Type="http://schemas.openxmlformats.org/officeDocument/2006/relationships/hyperlink" Target="#J!A1"/><Relationship Id="rId10" Type="http://schemas.openxmlformats.org/officeDocument/2006/relationships/hyperlink" Target="#UTC!C3"/><Relationship Id="rId19" Type="http://schemas.openxmlformats.org/officeDocument/2006/relationships/image" Target="../media/image47.jpeg"/><Relationship Id="rId4" Type="http://schemas.openxmlformats.org/officeDocument/2006/relationships/hyperlink" Target="#D!A1"/><Relationship Id="rId9" Type="http://schemas.openxmlformats.org/officeDocument/2006/relationships/image" Target="../media/image58.png"/><Relationship Id="rId14" Type="http://schemas.openxmlformats.org/officeDocument/2006/relationships/hyperlink" Target="#I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13" Type="http://schemas.openxmlformats.org/officeDocument/2006/relationships/hyperlink" Target="#H!A1"/><Relationship Id="rId18" Type="http://schemas.openxmlformats.org/officeDocument/2006/relationships/hyperlink" Target="http://clasesexcel.com/" TargetMode="External"/><Relationship Id="rId3" Type="http://schemas.openxmlformats.org/officeDocument/2006/relationships/hyperlink" Target="#'C'!A1"/><Relationship Id="rId7" Type="http://schemas.openxmlformats.org/officeDocument/2006/relationships/image" Target="../media/image59.png"/><Relationship Id="rId12" Type="http://schemas.openxmlformats.org/officeDocument/2006/relationships/image" Target="../media/image46.png"/><Relationship Id="rId17" Type="http://schemas.openxmlformats.org/officeDocument/2006/relationships/hyperlink" Target="#L!A1"/><Relationship Id="rId2" Type="http://schemas.openxmlformats.org/officeDocument/2006/relationships/hyperlink" Target="#B!A1"/><Relationship Id="rId16" Type="http://schemas.openxmlformats.org/officeDocument/2006/relationships/hyperlink" Target="#K!A1"/><Relationship Id="rId1" Type="http://schemas.openxmlformats.org/officeDocument/2006/relationships/hyperlink" Target="#A!A1"/><Relationship Id="rId6" Type="http://schemas.openxmlformats.org/officeDocument/2006/relationships/hyperlink" Target="#'F'!A1"/><Relationship Id="rId11" Type="http://schemas.openxmlformats.org/officeDocument/2006/relationships/hyperlink" Target="#UTC!C3"/><Relationship Id="rId5" Type="http://schemas.openxmlformats.org/officeDocument/2006/relationships/hyperlink" Target="#E!A1"/><Relationship Id="rId15" Type="http://schemas.openxmlformats.org/officeDocument/2006/relationships/hyperlink" Target="#J!A1"/><Relationship Id="rId10" Type="http://schemas.openxmlformats.org/officeDocument/2006/relationships/image" Target="../media/image62.png"/><Relationship Id="rId19" Type="http://schemas.openxmlformats.org/officeDocument/2006/relationships/image" Target="../media/image47.jpeg"/><Relationship Id="rId4" Type="http://schemas.openxmlformats.org/officeDocument/2006/relationships/hyperlink" Target="#D!A1"/><Relationship Id="rId9" Type="http://schemas.openxmlformats.org/officeDocument/2006/relationships/image" Target="../media/image61.png"/><Relationship Id="rId14" Type="http://schemas.openxmlformats.org/officeDocument/2006/relationships/hyperlink" Target="#I!A1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4.emf"/><Relationship Id="rId13" Type="http://schemas.openxmlformats.org/officeDocument/2006/relationships/image" Target="../media/image119.emf"/><Relationship Id="rId18" Type="http://schemas.openxmlformats.org/officeDocument/2006/relationships/image" Target="../media/image124.emf"/><Relationship Id="rId26" Type="http://schemas.openxmlformats.org/officeDocument/2006/relationships/image" Target="../media/image132.emf"/><Relationship Id="rId3" Type="http://schemas.openxmlformats.org/officeDocument/2006/relationships/image" Target="../media/image109.emf"/><Relationship Id="rId21" Type="http://schemas.openxmlformats.org/officeDocument/2006/relationships/image" Target="../media/image127.emf"/><Relationship Id="rId7" Type="http://schemas.openxmlformats.org/officeDocument/2006/relationships/image" Target="../media/image113.emf"/><Relationship Id="rId12" Type="http://schemas.openxmlformats.org/officeDocument/2006/relationships/image" Target="../media/image118.emf"/><Relationship Id="rId17" Type="http://schemas.openxmlformats.org/officeDocument/2006/relationships/image" Target="../media/image123.emf"/><Relationship Id="rId25" Type="http://schemas.openxmlformats.org/officeDocument/2006/relationships/image" Target="../media/image131.emf"/><Relationship Id="rId2" Type="http://schemas.openxmlformats.org/officeDocument/2006/relationships/image" Target="../media/image108.emf"/><Relationship Id="rId16" Type="http://schemas.openxmlformats.org/officeDocument/2006/relationships/image" Target="../media/image122.emf"/><Relationship Id="rId20" Type="http://schemas.openxmlformats.org/officeDocument/2006/relationships/image" Target="../media/image126.emf"/><Relationship Id="rId29" Type="http://schemas.openxmlformats.org/officeDocument/2006/relationships/image" Target="../media/image135.emf"/><Relationship Id="rId1" Type="http://schemas.openxmlformats.org/officeDocument/2006/relationships/image" Target="../media/image107.emf"/><Relationship Id="rId6" Type="http://schemas.openxmlformats.org/officeDocument/2006/relationships/image" Target="../media/image112.emf"/><Relationship Id="rId11" Type="http://schemas.openxmlformats.org/officeDocument/2006/relationships/image" Target="../media/image117.emf"/><Relationship Id="rId24" Type="http://schemas.openxmlformats.org/officeDocument/2006/relationships/image" Target="../media/image130.emf"/><Relationship Id="rId32" Type="http://schemas.openxmlformats.org/officeDocument/2006/relationships/image" Target="../media/image138.emf"/><Relationship Id="rId5" Type="http://schemas.openxmlformats.org/officeDocument/2006/relationships/image" Target="../media/image111.emf"/><Relationship Id="rId15" Type="http://schemas.openxmlformats.org/officeDocument/2006/relationships/image" Target="../media/image121.emf"/><Relationship Id="rId23" Type="http://schemas.openxmlformats.org/officeDocument/2006/relationships/image" Target="../media/image129.emf"/><Relationship Id="rId28" Type="http://schemas.openxmlformats.org/officeDocument/2006/relationships/image" Target="../media/image134.emf"/><Relationship Id="rId10" Type="http://schemas.openxmlformats.org/officeDocument/2006/relationships/image" Target="../media/image116.emf"/><Relationship Id="rId19" Type="http://schemas.openxmlformats.org/officeDocument/2006/relationships/image" Target="../media/image125.emf"/><Relationship Id="rId31" Type="http://schemas.openxmlformats.org/officeDocument/2006/relationships/image" Target="../media/image137.emf"/><Relationship Id="rId4" Type="http://schemas.openxmlformats.org/officeDocument/2006/relationships/image" Target="../media/image110.emf"/><Relationship Id="rId9" Type="http://schemas.openxmlformats.org/officeDocument/2006/relationships/image" Target="../media/image115.emf"/><Relationship Id="rId14" Type="http://schemas.openxmlformats.org/officeDocument/2006/relationships/image" Target="../media/image120.emf"/><Relationship Id="rId22" Type="http://schemas.openxmlformats.org/officeDocument/2006/relationships/image" Target="../media/image128.emf"/><Relationship Id="rId27" Type="http://schemas.openxmlformats.org/officeDocument/2006/relationships/image" Target="../media/image133.emf"/><Relationship Id="rId30" Type="http://schemas.openxmlformats.org/officeDocument/2006/relationships/image" Target="../media/image136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2.emf"/><Relationship Id="rId13" Type="http://schemas.openxmlformats.org/officeDocument/2006/relationships/image" Target="../media/image167.emf"/><Relationship Id="rId3" Type="http://schemas.openxmlformats.org/officeDocument/2006/relationships/image" Target="../media/image157.emf"/><Relationship Id="rId7" Type="http://schemas.openxmlformats.org/officeDocument/2006/relationships/image" Target="../media/image161.emf"/><Relationship Id="rId12" Type="http://schemas.openxmlformats.org/officeDocument/2006/relationships/image" Target="../media/image166.emf"/><Relationship Id="rId2" Type="http://schemas.openxmlformats.org/officeDocument/2006/relationships/image" Target="../media/image156.emf"/><Relationship Id="rId16" Type="http://schemas.openxmlformats.org/officeDocument/2006/relationships/image" Target="../media/image170.emf"/><Relationship Id="rId1" Type="http://schemas.openxmlformats.org/officeDocument/2006/relationships/image" Target="../media/image155.emf"/><Relationship Id="rId6" Type="http://schemas.openxmlformats.org/officeDocument/2006/relationships/image" Target="../media/image160.emf"/><Relationship Id="rId11" Type="http://schemas.openxmlformats.org/officeDocument/2006/relationships/image" Target="../media/image165.emf"/><Relationship Id="rId5" Type="http://schemas.openxmlformats.org/officeDocument/2006/relationships/image" Target="../media/image159.emf"/><Relationship Id="rId15" Type="http://schemas.openxmlformats.org/officeDocument/2006/relationships/image" Target="../media/image169.emf"/><Relationship Id="rId10" Type="http://schemas.openxmlformats.org/officeDocument/2006/relationships/image" Target="../media/image164.emf"/><Relationship Id="rId4" Type="http://schemas.openxmlformats.org/officeDocument/2006/relationships/image" Target="../media/image158.emf"/><Relationship Id="rId9" Type="http://schemas.openxmlformats.org/officeDocument/2006/relationships/image" Target="../media/image163.emf"/><Relationship Id="rId14" Type="http://schemas.openxmlformats.org/officeDocument/2006/relationships/image" Target="../media/image168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6.emf"/><Relationship Id="rId3" Type="http://schemas.openxmlformats.org/officeDocument/2006/relationships/image" Target="../media/image181.emf"/><Relationship Id="rId7" Type="http://schemas.openxmlformats.org/officeDocument/2006/relationships/image" Target="../media/image185.emf"/><Relationship Id="rId2" Type="http://schemas.openxmlformats.org/officeDocument/2006/relationships/image" Target="../media/image180.emf"/><Relationship Id="rId1" Type="http://schemas.openxmlformats.org/officeDocument/2006/relationships/image" Target="../media/image179.emf"/><Relationship Id="rId6" Type="http://schemas.openxmlformats.org/officeDocument/2006/relationships/image" Target="../media/image184.emf"/><Relationship Id="rId5" Type="http://schemas.openxmlformats.org/officeDocument/2006/relationships/image" Target="../media/image183.emf"/><Relationship Id="rId4" Type="http://schemas.openxmlformats.org/officeDocument/2006/relationships/image" Target="../media/image182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94.emf"/><Relationship Id="rId2" Type="http://schemas.openxmlformats.org/officeDocument/2006/relationships/image" Target="../media/image193.emf"/><Relationship Id="rId1" Type="http://schemas.openxmlformats.org/officeDocument/2006/relationships/image" Target="../media/image192.emf"/><Relationship Id="rId4" Type="http://schemas.openxmlformats.org/officeDocument/2006/relationships/image" Target="../media/image195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204.emf"/><Relationship Id="rId2" Type="http://schemas.openxmlformats.org/officeDocument/2006/relationships/image" Target="../media/image203.emf"/><Relationship Id="rId1" Type="http://schemas.openxmlformats.org/officeDocument/2006/relationships/image" Target="../media/image202.emf"/><Relationship Id="rId6" Type="http://schemas.openxmlformats.org/officeDocument/2006/relationships/image" Target="../media/image207.emf"/><Relationship Id="rId5" Type="http://schemas.openxmlformats.org/officeDocument/2006/relationships/image" Target="../media/image206.emf"/><Relationship Id="rId4" Type="http://schemas.openxmlformats.org/officeDocument/2006/relationships/image" Target="../media/image205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37098" cy="4838700"/>
    <xdr:pic>
      <xdr:nvPicPr>
        <xdr:cNvPr id="2" name="Imagen 1">
          <a:extLst>
            <a:ext uri="{FF2B5EF4-FFF2-40B4-BE49-F238E27FC236}">
              <a16:creationId xmlns:a16="http://schemas.microsoft.com/office/drawing/2014/main" id="{209D02F4-5960-429E-B5BA-626BCB217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9637098" cy="4838700"/>
        </a:xfrm>
        <a:prstGeom prst="rect">
          <a:avLst/>
        </a:prstGeom>
      </xdr:spPr>
    </xdr:pic>
    <xdr:clientData/>
  </xdr:oneCellAnchor>
  <xdr:absoluteAnchor>
    <xdr:pos x="161925" y="1095375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F9AD9-DBC9-4370-AFA9-58B4A4967133}"/>
            </a:ext>
          </a:extLst>
        </xdr:cNvPr>
        <xdr:cNvSpPr/>
      </xdr:nvSpPr>
      <xdr:spPr>
        <a:xfrm>
          <a:off x="161925" y="1095375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A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61925" y="2876549"/>
    <xdr:ext cx="178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309FBC-B40C-4C16-ACAD-F9E17913B981}"/>
            </a:ext>
          </a:extLst>
        </xdr:cNvPr>
        <xdr:cNvSpPr/>
      </xdr:nvSpPr>
      <xdr:spPr>
        <a:xfrm>
          <a:off x="161925" y="2876549"/>
          <a:ext cx="178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>
              <a:solidFill>
                <a:srgbClr val="312585"/>
              </a:solidFill>
              <a:latin typeface="+mn-lt"/>
            </a:rPr>
            <a:t>Semifinales</a:t>
          </a:r>
        </a:p>
      </xdr:txBody>
    </xdr:sp>
    <xdr:clientData/>
  </xdr:absoluteAnchor>
  <xdr:absoluteAnchor>
    <xdr:pos x="161925" y="3233737"/>
    <xdr:ext cx="178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5FC89-C6A9-4C37-9695-EE7CCEA11837}"/>
            </a:ext>
          </a:extLst>
        </xdr:cNvPr>
        <xdr:cNvSpPr/>
      </xdr:nvSpPr>
      <xdr:spPr>
        <a:xfrm>
          <a:off x="161925" y="3233737"/>
          <a:ext cx="178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>
              <a:solidFill>
                <a:srgbClr val="312585"/>
              </a:solidFill>
              <a:latin typeface="+mn-lt"/>
            </a:rPr>
            <a:t>FINAL del torneo</a:t>
          </a:r>
        </a:p>
      </xdr:txBody>
    </xdr:sp>
    <xdr:clientData/>
  </xdr:absoluteAnchor>
  <xdr:absoluteAnchor>
    <xdr:pos x="161925" y="2519361"/>
    <xdr:ext cx="178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46DCBE-ACCA-41D2-8BFA-5D7FBF5C9E31}"/>
            </a:ext>
          </a:extLst>
        </xdr:cNvPr>
        <xdr:cNvSpPr/>
      </xdr:nvSpPr>
      <xdr:spPr>
        <a:xfrm>
          <a:off x="161925" y="2519361"/>
          <a:ext cx="178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>
              <a:solidFill>
                <a:srgbClr val="312585"/>
              </a:solidFill>
              <a:latin typeface="+mn-lt"/>
            </a:rPr>
            <a:t>Cuartos de final</a:t>
          </a:r>
        </a:p>
      </xdr:txBody>
    </xdr:sp>
    <xdr:clientData/>
  </xdr:absoluteAnchor>
  <xdr:absoluteAnchor>
    <xdr:pos x="161925" y="2162174"/>
    <xdr:ext cx="178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3C2F06-A09E-4D62-904E-4C696510B754}"/>
            </a:ext>
          </a:extLst>
        </xdr:cNvPr>
        <xdr:cNvSpPr/>
      </xdr:nvSpPr>
      <xdr:spPr>
        <a:xfrm>
          <a:off x="161925" y="2162174"/>
          <a:ext cx="178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>
              <a:solidFill>
                <a:srgbClr val="312585"/>
              </a:solidFill>
              <a:latin typeface="+mn-lt"/>
            </a:rPr>
            <a:t>Octavos</a:t>
          </a:r>
          <a:r>
            <a:rPr lang="es-UY" sz="1200" b="1" baseline="0">
              <a:solidFill>
                <a:srgbClr val="312585"/>
              </a:solidFill>
              <a:latin typeface="+mn-lt"/>
            </a:rPr>
            <a:t> de final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2475602" y="255053"/>
    <xdr:ext cx="4630947" cy="534698"/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3C9352BC-F20A-4150-88B8-BA69993FA470}"/>
            </a:ext>
          </a:extLst>
        </xdr:cNvPr>
        <xdr:cNvSpPr/>
      </xdr:nvSpPr>
      <xdr:spPr>
        <a:xfrm>
          <a:off x="2475602" y="255053"/>
          <a:ext cx="4630947" cy="534698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>
          <a:spAutoFit/>
        </a:bodyPr>
        <a:lstStyle/>
        <a:p>
          <a:pPr algn="ctr"/>
          <a:r>
            <a:rPr lang="es-MX" sz="3000" b="1" cap="none" spc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Arial" panose="020B0604020202020204" pitchFamily="34" charset="0"/>
              <a:cs typeface="Arial" panose="020B0604020202020204" pitchFamily="34" charset="0"/>
            </a:rPr>
            <a:t>Copa</a:t>
          </a:r>
          <a:r>
            <a:rPr lang="es-MX" sz="3000" b="1" cap="none" spc="0" baseline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Arial" panose="020B0604020202020204" pitchFamily="34" charset="0"/>
              <a:cs typeface="Arial" panose="020B0604020202020204" pitchFamily="34" charset="0"/>
            </a:rPr>
            <a:t> Mundial FIFA 2026</a:t>
          </a:r>
          <a:endParaRPr lang="es-MX" sz="3000" b="1" cap="none" spc="0">
            <a:ln w="0"/>
            <a:solidFill>
              <a:srgbClr val="B0EA00"/>
            </a:solidFill>
            <a:effectLst>
              <a:reflection blurRad="6350" stA="53000" endA="300" endPos="35500" dir="5400000" sy="-90000" algn="bl" rotWithShape="0"/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3465105" y="28575"/>
    <xdr:ext cx="2651944" cy="405432"/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265859CB-F19F-4ED1-9AA4-B2737D29D4AF}"/>
            </a:ext>
          </a:extLst>
        </xdr:cNvPr>
        <xdr:cNvSpPr/>
      </xdr:nvSpPr>
      <xdr:spPr>
        <a:xfrm>
          <a:off x="3465105" y="28575"/>
          <a:ext cx="2651944" cy="405432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>
          <a:spAutoFit/>
        </a:bodyPr>
        <a:lstStyle/>
        <a:p>
          <a:pPr algn="ctr"/>
          <a:r>
            <a:rPr lang="es-MX" sz="2000" b="0" cap="none" spc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Fixture</a:t>
          </a:r>
          <a:r>
            <a:rPr lang="es-MX" sz="2000" b="0" cap="none" spc="0" baseline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 interactivo de la</a:t>
          </a:r>
          <a:endParaRPr lang="es-MX" sz="2000" b="0" cap="none" spc="0">
            <a:ln w="0"/>
            <a:solidFill>
              <a:srgbClr val="B0EA00"/>
            </a:solidFill>
            <a:effectLst>
              <a:reflection blurRad="6350" stA="53000" endA="300" endPos="35500" dir="5400000" sy="-90000" algn="bl" rotWithShape="0"/>
            </a:effectLst>
            <a:latin typeface="+mn-lt"/>
          </a:endParaRPr>
        </a:p>
      </xdr:txBody>
    </xdr:sp>
    <xdr:clientData/>
  </xdr:absoluteAnchor>
  <xdr:absoluteAnchor>
    <xdr:pos x="66675" y="819150"/>
    <xdr:ext cx="1122167" cy="280205"/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89D1BF75-36C4-489A-96F0-60A19A074B9C}"/>
            </a:ext>
          </a:extLst>
        </xdr:cNvPr>
        <xdr:cNvSpPr/>
      </xdr:nvSpPr>
      <xdr:spPr>
        <a:xfrm>
          <a:off x="66675" y="819150"/>
          <a:ext cx="1122167" cy="280205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>
          <a:spAutoFit/>
        </a:bodyPr>
        <a:lstStyle/>
        <a:p>
          <a:pPr algn="l"/>
          <a:r>
            <a:rPr lang="es-MX" sz="1200" b="0" cap="none" spc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Fase</a:t>
          </a:r>
          <a:r>
            <a:rPr lang="es-MX" sz="1200" b="0" cap="none" spc="0" baseline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 de g</a:t>
          </a:r>
          <a:r>
            <a:rPr lang="es-MX" sz="1200" b="0" cap="none" spc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rupos</a:t>
          </a:r>
        </a:p>
      </xdr:txBody>
    </xdr:sp>
    <xdr:clientData/>
  </xdr:absoluteAnchor>
  <xdr:absoluteAnchor>
    <xdr:pos x="468630" y="1095375"/>
    <xdr:ext cx="252000" cy="252000"/>
    <xdr:sp macro="" textlink="">
      <xdr:nvSpPr>
        <xdr:cNvPr id="11" name="Rectángulo: esquinas redondeadas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7CDC7A-3854-4242-A617-5AA6D178DA93}"/>
            </a:ext>
          </a:extLst>
        </xdr:cNvPr>
        <xdr:cNvSpPr/>
      </xdr:nvSpPr>
      <xdr:spPr>
        <a:xfrm>
          <a:off x="468630" y="1095375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B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775335" y="1095375"/>
    <xdr:ext cx="252000" cy="252000"/>
    <xdr:sp macro="" textlink="">
      <xdr:nvSpPr>
        <xdr:cNvPr id="12" name="Rectángulo: esquinas redondeadas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F7A88C7-3695-4331-A1DB-4E1DDD5F7FDA}"/>
            </a:ext>
          </a:extLst>
        </xdr:cNvPr>
        <xdr:cNvSpPr/>
      </xdr:nvSpPr>
      <xdr:spPr>
        <a:xfrm>
          <a:off x="775335" y="1095375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C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082040" y="1095375"/>
    <xdr:ext cx="252000" cy="252000"/>
    <xdr:sp macro="" textlink="">
      <xdr:nvSpPr>
        <xdr:cNvPr id="13" name="Rectángulo: esquinas redondeada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0BE6971-E2FC-4640-AAFF-1C19E566499C}"/>
            </a:ext>
          </a:extLst>
        </xdr:cNvPr>
        <xdr:cNvSpPr/>
      </xdr:nvSpPr>
      <xdr:spPr>
        <a:xfrm>
          <a:off x="1082040" y="1095375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D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388745" y="1095375"/>
    <xdr:ext cx="252000" cy="252000"/>
    <xdr:sp macro="" textlink="">
      <xdr:nvSpPr>
        <xdr:cNvPr id="14" name="Rectángulo: esquinas redondeada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9485C0A-CF6A-4A8A-855C-96FD11D1F9D8}"/>
            </a:ext>
          </a:extLst>
        </xdr:cNvPr>
        <xdr:cNvSpPr/>
      </xdr:nvSpPr>
      <xdr:spPr>
        <a:xfrm>
          <a:off x="1388745" y="1095375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E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695450" y="1095375"/>
    <xdr:ext cx="252000" cy="252000"/>
    <xdr:sp macro="" textlink="">
      <xdr:nvSpPr>
        <xdr:cNvPr id="15" name="Rectángulo: esquinas redondeadas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E70C251-DFA5-4D9B-A65B-9AE4A9E05C69}"/>
            </a:ext>
          </a:extLst>
        </xdr:cNvPr>
        <xdr:cNvSpPr/>
      </xdr:nvSpPr>
      <xdr:spPr>
        <a:xfrm>
          <a:off x="1695450" y="1095375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F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61925" y="1390650"/>
    <xdr:ext cx="252000" cy="252000"/>
    <xdr:sp macro="" textlink="">
      <xdr:nvSpPr>
        <xdr:cNvPr id="16" name="Rectángulo: esquinas redondeadas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613B8CF-328B-440B-90A3-87F1B345F041}"/>
            </a:ext>
          </a:extLst>
        </xdr:cNvPr>
        <xdr:cNvSpPr/>
      </xdr:nvSpPr>
      <xdr:spPr>
        <a:xfrm>
          <a:off x="161925" y="1390650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G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468630" y="1390650"/>
    <xdr:ext cx="252000" cy="252000"/>
    <xdr:sp macro="" textlink="">
      <xdr:nvSpPr>
        <xdr:cNvPr id="17" name="Rectángulo: esquinas redondeada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0E3329A-E78E-4997-A8FA-1EAD144E5CF2}"/>
            </a:ext>
          </a:extLst>
        </xdr:cNvPr>
        <xdr:cNvSpPr/>
      </xdr:nvSpPr>
      <xdr:spPr>
        <a:xfrm>
          <a:off x="468630" y="1390650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H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775335" y="1390650"/>
    <xdr:ext cx="252000" cy="252000"/>
    <xdr:sp macro="" textlink="">
      <xdr:nvSpPr>
        <xdr:cNvPr id="18" name="Rectángulo: esquinas redondeadas 1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9445D35-5588-4D06-AE41-31804F1E52E0}"/>
            </a:ext>
          </a:extLst>
        </xdr:cNvPr>
        <xdr:cNvSpPr/>
      </xdr:nvSpPr>
      <xdr:spPr>
        <a:xfrm>
          <a:off x="775335" y="1390650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I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082040" y="1390650"/>
    <xdr:ext cx="252000" cy="252000"/>
    <xdr:sp macro="" textlink="">
      <xdr:nvSpPr>
        <xdr:cNvPr id="19" name="Rectángulo: esquinas redondeadas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E4A8995-284D-4014-9B54-5B0D4CA1193B}"/>
            </a:ext>
          </a:extLst>
        </xdr:cNvPr>
        <xdr:cNvSpPr/>
      </xdr:nvSpPr>
      <xdr:spPr>
        <a:xfrm>
          <a:off x="1082040" y="1390650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J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388745" y="1390650"/>
    <xdr:ext cx="252000" cy="252000"/>
    <xdr:sp macro="" textlink="">
      <xdr:nvSpPr>
        <xdr:cNvPr id="20" name="Rectángulo: esquinas redondeadas 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113F60-3FBE-40CB-91AC-F4AF689444AD}"/>
            </a:ext>
          </a:extLst>
        </xdr:cNvPr>
        <xdr:cNvSpPr/>
      </xdr:nvSpPr>
      <xdr:spPr>
        <a:xfrm>
          <a:off x="1388745" y="1390650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K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695450" y="1390650"/>
    <xdr:ext cx="252000" cy="252000"/>
    <xdr:sp macro="" textlink="">
      <xdr:nvSpPr>
        <xdr:cNvPr id="21" name="Rectángulo: esquinas redondeadas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1B6FBBC-5B54-4D88-8DAE-80381DD323BE}"/>
            </a:ext>
          </a:extLst>
        </xdr:cNvPr>
        <xdr:cNvSpPr/>
      </xdr:nvSpPr>
      <xdr:spPr>
        <a:xfrm>
          <a:off x="1695450" y="1390650"/>
          <a:ext cx="252000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L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4083927" y="733425"/>
    <xdr:ext cx="1414298" cy="256737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4E035D06-4FCD-4520-9DF6-65AF5A804DA7}"/>
            </a:ext>
          </a:extLst>
        </xdr:cNvPr>
        <xdr:cNvSpPr txBox="1"/>
      </xdr:nvSpPr>
      <xdr:spPr>
        <a:xfrm>
          <a:off x="4083927" y="733425"/>
          <a:ext cx="1414298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050" b="0" i="0" u="none" strike="noStrike" baseline="0">
              <a:solidFill>
                <a:srgbClr val="B0EA00"/>
              </a:solidFill>
              <a:latin typeface="+mn-lt"/>
              <a:ea typeface="+mn-ea"/>
              <a:cs typeface="+mn-cs"/>
            </a:rPr>
            <a:t>11 de junio - 19 de julio</a:t>
          </a:r>
          <a:endParaRPr lang="es-ES" sz="1050">
            <a:solidFill>
              <a:srgbClr val="B0EA00"/>
            </a:solidFill>
          </a:endParaRPr>
        </a:p>
      </xdr:txBody>
    </xdr:sp>
    <xdr:clientData/>
  </xdr:absoluteAnchor>
  <xdr:absoluteAnchor>
    <xdr:pos x="161925" y="3640298"/>
    <xdr:ext cx="600075" cy="252000"/>
    <xdr:sp macro="" textlink="">
      <xdr:nvSpPr>
        <xdr:cNvPr id="23" name="Rectángulo: esquinas redondeadas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0B3F34D-27EE-45CD-986C-B90D062B53A3}"/>
            </a:ext>
          </a:extLst>
        </xdr:cNvPr>
        <xdr:cNvSpPr/>
      </xdr:nvSpPr>
      <xdr:spPr>
        <a:xfrm>
          <a:off x="161925" y="3640298"/>
          <a:ext cx="600075" cy="252000"/>
        </a:xfrm>
        <a:prstGeom prst="roundRect">
          <a:avLst/>
        </a:prstGeom>
        <a:solidFill>
          <a:srgbClr val="FFFFFF">
            <a:alpha val="50196"/>
          </a:srgbClr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Extra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7965893" y="1174662"/>
    <xdr:ext cx="1601336" cy="280205"/>
    <xdr:sp macro="" textlink="">
      <xdr:nvSpPr>
        <xdr:cNvPr id="28" name="Rectángulo 2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C8AD097-26CE-466D-9B29-A66219B8BFE4}"/>
            </a:ext>
          </a:extLst>
        </xdr:cNvPr>
        <xdr:cNvSpPr/>
      </xdr:nvSpPr>
      <xdr:spPr>
        <a:xfrm>
          <a:off x="7965893" y="1174662"/>
          <a:ext cx="1601336" cy="280205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 anchor="ctr">
          <a:spAutoFit/>
        </a:bodyPr>
        <a:lstStyle/>
        <a:p>
          <a:pPr algn="r"/>
          <a:r>
            <a:rPr lang="es-MX" sz="1200" b="0" u="sng" cap="none" spc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Cómo usar este</a:t>
          </a:r>
          <a:r>
            <a:rPr lang="es-MX" sz="1200" b="0" u="sng" cap="none" spc="0" baseline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 fixture</a:t>
          </a:r>
          <a:endParaRPr lang="es-MX" sz="1200" b="0" u="sng" cap="none" spc="0">
            <a:ln w="0"/>
            <a:solidFill>
              <a:srgbClr val="B0EA00"/>
            </a:solidFill>
            <a:effectLst>
              <a:reflection blurRad="6350" stA="53000" endA="300" endPos="35500" dir="5400000" sy="-90000" algn="bl" rotWithShape="0"/>
            </a:effectLst>
            <a:latin typeface="+mn-lt"/>
          </a:endParaRPr>
        </a:p>
      </xdr:txBody>
    </xdr:sp>
    <xdr:clientData/>
  </xdr:absoluteAnchor>
  <xdr:absoluteAnchor>
    <xdr:pos x="8134350" y="263178"/>
    <xdr:ext cx="1368000" cy="260076"/>
    <xdr:pic>
      <xdr:nvPicPr>
        <xdr:cNvPr id="29" name="Imagen 2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BD94D1F-75CE-41EC-8175-C7CF92C11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263178"/>
          <a:ext cx="1368000" cy="260076"/>
        </a:xfrm>
        <a:prstGeom prst="rect">
          <a:avLst/>
        </a:prstGeom>
      </xdr:spPr>
    </xdr:pic>
    <xdr:clientData/>
  </xdr:absoluteAnchor>
  <xdr:absoluteAnchor>
    <xdr:pos x="7940502" y="1438302"/>
    <xdr:ext cx="1626727" cy="280205"/>
    <xdr:sp macro="" textlink="">
      <xdr:nvSpPr>
        <xdr:cNvPr id="30" name="Rectángulo 2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DFB243F-9C9E-4B7E-93FA-5BBB8DB88096}"/>
            </a:ext>
          </a:extLst>
        </xdr:cNvPr>
        <xdr:cNvSpPr/>
      </xdr:nvSpPr>
      <xdr:spPr>
        <a:xfrm>
          <a:off x="7940502" y="1438302"/>
          <a:ext cx="1626727" cy="280205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 anchor="ctr">
          <a:spAutoFit/>
        </a:bodyPr>
        <a:lstStyle/>
        <a:p>
          <a:pPr algn="r"/>
          <a:r>
            <a:rPr lang="es-MX" sz="1200" b="0" u="sng" cap="none" spc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Reglamento</a:t>
          </a:r>
          <a:r>
            <a:rPr lang="es-MX" sz="1200" b="0" u="sng" cap="none" spc="0" baseline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 del torneo</a:t>
          </a:r>
          <a:endParaRPr lang="es-MX" sz="1200" b="0" u="sng" cap="none" spc="0">
            <a:ln w="0"/>
            <a:solidFill>
              <a:srgbClr val="B0EA00"/>
            </a:solidFill>
            <a:effectLst>
              <a:reflection blurRad="6350" stA="53000" endA="300" endPos="35500" dir="5400000" sy="-90000" algn="bl" rotWithShape="0"/>
            </a:effectLst>
            <a:latin typeface="+mn-lt"/>
          </a:endParaRPr>
        </a:p>
      </xdr:txBody>
    </xdr:sp>
    <xdr:clientData/>
  </xdr:absoluteAnchor>
  <xdr:absoluteAnchor>
    <xdr:pos x="7811620" y="1701942"/>
    <xdr:ext cx="1755609" cy="280205"/>
    <xdr:sp macro="" textlink="">
      <xdr:nvSpPr>
        <xdr:cNvPr id="31" name="Rectángulo 3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3C6E92B-BF7D-437E-801D-738EC1AC89A8}"/>
            </a:ext>
          </a:extLst>
        </xdr:cNvPr>
        <xdr:cNvSpPr/>
      </xdr:nvSpPr>
      <xdr:spPr>
        <a:xfrm>
          <a:off x="7811620" y="1701942"/>
          <a:ext cx="1755609" cy="280205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 anchor="ctr">
          <a:spAutoFit/>
        </a:bodyPr>
        <a:lstStyle/>
        <a:p>
          <a:pPr algn="r"/>
          <a:r>
            <a:rPr lang="es-MX" sz="1200" b="0" u="sng" cap="none" spc="0">
              <a:ln w="0"/>
              <a:solidFill>
                <a:srgbClr val="B0EA00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Aprende más sobre Excel</a:t>
          </a:r>
        </a:p>
      </xdr:txBody>
    </xdr:sp>
    <xdr:clientData/>
  </xdr:absoluteAnchor>
  <xdr:absoluteAnchor>
    <xdr:pos x="8135490" y="3386121"/>
    <xdr:ext cx="1431739" cy="468077"/>
    <xdr:sp macro="" textlink="">
      <xdr:nvSpPr>
        <xdr:cNvPr id="32" name="Rectángulo 3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BFE3B9B-5A8B-4649-8C79-66D7F3B5CA6E}"/>
            </a:ext>
          </a:extLst>
        </xdr:cNvPr>
        <xdr:cNvSpPr/>
      </xdr:nvSpPr>
      <xdr:spPr>
        <a:xfrm>
          <a:off x="8135490" y="3386121"/>
          <a:ext cx="1431739" cy="468077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 anchor="ctr">
          <a:spAutoFit/>
        </a:bodyPr>
        <a:lstStyle/>
        <a:p>
          <a:pPr algn="r"/>
          <a:r>
            <a:rPr lang="es-MX" sz="1200" b="0" u="sng" cap="none" spc="0">
              <a:ln w="0"/>
              <a:solidFill>
                <a:schemeClr val="bg1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¿Necesitas</a:t>
          </a:r>
        </a:p>
        <a:p>
          <a:pPr algn="r"/>
          <a:r>
            <a:rPr lang="es-MX" sz="1200" b="0" u="sng" cap="none" spc="0">
              <a:ln w="0"/>
              <a:solidFill>
                <a:schemeClr val="bg1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plantillas a medida?</a:t>
          </a:r>
        </a:p>
      </xdr:txBody>
    </xdr:sp>
    <xdr:clientData/>
  </xdr:absoluteAnchor>
  <xdr:absoluteAnchor>
    <xdr:pos x="8544172" y="84054"/>
    <xdr:ext cx="999889" cy="248851"/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678740E3-8A0E-47B7-AE64-140CC9B2B94B}"/>
            </a:ext>
          </a:extLst>
        </xdr:cNvPr>
        <xdr:cNvSpPr/>
      </xdr:nvSpPr>
      <xdr:spPr>
        <a:xfrm>
          <a:off x="8544172" y="84054"/>
          <a:ext cx="999889" cy="248851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 anchor="ctr">
          <a:spAutoFit/>
        </a:bodyPr>
        <a:lstStyle/>
        <a:p>
          <a:pPr algn="r"/>
          <a:r>
            <a:rPr lang="es-MX" sz="1000" b="0" u="none" cap="none" spc="0">
              <a:ln w="0"/>
              <a:solidFill>
                <a:schemeClr val="bg1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FCMF26-v.1.0.1</a:t>
          </a:r>
        </a:p>
      </xdr:txBody>
    </xdr:sp>
    <xdr:clientData/>
  </xdr:absoluteAnchor>
  <xdr:absoluteAnchor>
    <xdr:pos x="8315325" y="503122"/>
    <xdr:ext cx="1257311" cy="154103"/>
    <xdr:sp macro="" textlink="">
      <xdr:nvSpPr>
        <xdr:cNvPr id="34" name="Rectángulo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39B9350-19DB-4A75-948F-62453248AC75}"/>
            </a:ext>
          </a:extLst>
        </xdr:cNvPr>
        <xdr:cNvSpPr/>
      </xdr:nvSpPr>
      <xdr:spPr>
        <a:xfrm>
          <a:off x="8315325" y="503122"/>
          <a:ext cx="1257311" cy="154103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 anchor="ctr">
          <a:noAutofit/>
        </a:bodyPr>
        <a:lstStyle/>
        <a:p>
          <a:pPr algn="r"/>
          <a:r>
            <a:rPr lang="es-MX" sz="1000" b="0" u="none" cap="none" spc="0">
              <a:ln w="0"/>
              <a:solidFill>
                <a:schemeClr val="bg1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Clases Excel ©2026</a:t>
          </a:r>
        </a:p>
      </xdr:txBody>
    </xdr:sp>
    <xdr:clientData/>
  </xdr:absoluteAnchor>
  <xdr:absoluteAnchor>
    <xdr:pos x="8153401" y="588847"/>
    <xdr:ext cx="1419236" cy="201728"/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B6F2EB93-FC8B-4821-895B-1B6C8A2C4FCF}"/>
            </a:ext>
          </a:extLst>
        </xdr:cNvPr>
        <xdr:cNvSpPr/>
      </xdr:nvSpPr>
      <xdr:spPr>
        <a:xfrm>
          <a:off x="8153401" y="588847"/>
          <a:ext cx="1419236" cy="201728"/>
        </a:xfrm>
        <a:prstGeom prst="rect">
          <a:avLst/>
        </a:prstGeom>
        <a:noFill/>
        <a:effectLst>
          <a:glow rad="228600">
            <a:schemeClr val="accent3">
              <a:satMod val="175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none" lIns="91440" tIns="45720" rIns="91440" bIns="45720" anchor="ctr">
          <a:noAutofit/>
        </a:bodyPr>
        <a:lstStyle/>
        <a:p>
          <a:pPr algn="r"/>
          <a:r>
            <a:rPr lang="es-MX" sz="800" b="0" u="none" cap="none" spc="0">
              <a:ln w="0"/>
              <a:solidFill>
                <a:schemeClr val="bg1"/>
              </a:solidFill>
              <a:effectLst>
                <a:reflection blurRad="6350" stA="53000" endA="300" endPos="35500" dir="5400000" sy="-90000" algn="bl" rotWithShape="0"/>
              </a:effectLst>
              <a:latin typeface="+mn-lt"/>
            </a:rPr>
            <a:t>Todos los derechos reservados</a:t>
          </a:r>
        </a:p>
      </xdr:txBody>
    </xdr:sp>
    <xdr:clientData/>
  </xdr:absoluteAnchor>
  <xdr:absoluteAnchor>
    <xdr:pos x="161925" y="1804987"/>
    <xdr:ext cx="1781175" cy="252000"/>
    <xdr:sp macro="" textlink="">
      <xdr:nvSpPr>
        <xdr:cNvPr id="36" name="Rectángulo: esquinas redondeadas 3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5B71C43E-627E-4F91-B414-C495B5074975}"/>
            </a:ext>
          </a:extLst>
        </xdr:cNvPr>
        <xdr:cNvSpPr/>
      </xdr:nvSpPr>
      <xdr:spPr>
        <a:xfrm>
          <a:off x="161925" y="1804987"/>
          <a:ext cx="1781175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>
              <a:solidFill>
                <a:srgbClr val="312585"/>
              </a:solidFill>
              <a:latin typeface="+mn-lt"/>
            </a:rPr>
            <a:t>Dieciseisavos</a:t>
          </a:r>
          <a:r>
            <a:rPr lang="es-UY" sz="1200" b="1" baseline="0">
              <a:solidFill>
                <a:srgbClr val="312585"/>
              </a:solidFill>
              <a:latin typeface="+mn-lt"/>
            </a:rPr>
            <a:t> de final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877125" y="3648075"/>
    <xdr:ext cx="1066800" cy="252000"/>
    <xdr:sp macro="" textlink="">
      <xdr:nvSpPr>
        <xdr:cNvPr id="37" name="Rectángulo: esquinas redondeadas 36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1C85BA9B-05C5-4167-8754-0CECAE01190F}"/>
            </a:ext>
          </a:extLst>
        </xdr:cNvPr>
        <xdr:cNvSpPr/>
      </xdr:nvSpPr>
      <xdr:spPr>
        <a:xfrm>
          <a:off x="877125" y="3648075"/>
          <a:ext cx="1066800" cy="252000"/>
        </a:xfrm>
        <a:prstGeom prst="roundRect">
          <a:avLst/>
        </a:prstGeom>
        <a:solidFill>
          <a:srgbClr val="FFFFFF">
            <a:alpha val="50196"/>
          </a:srgbClr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Zona horaria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161925" y="523875"/>
    <xdr:ext cx="1781175" cy="252000"/>
    <xdr:sp macro="" textlink="">
      <xdr:nvSpPr>
        <xdr:cNvPr id="38" name="Rectángulo: esquinas redondeadas 37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57B947B4-FB59-4400-9210-629D4C1A3C01}"/>
            </a:ext>
          </a:extLst>
        </xdr:cNvPr>
        <xdr:cNvSpPr/>
      </xdr:nvSpPr>
      <xdr:spPr>
        <a:xfrm>
          <a:off x="161925" y="523875"/>
          <a:ext cx="1781175" cy="252000"/>
        </a:xfrm>
        <a:prstGeom prst="roundRect">
          <a:avLst/>
        </a:prstGeom>
        <a:solidFill>
          <a:srgbClr val="B0EA00">
            <a:alpha val="50196"/>
          </a:srgbClr>
        </a:solidFill>
        <a:ln>
          <a:solidFill>
            <a:srgbClr val="B0EA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>
              <a:solidFill>
                <a:srgbClr val="312585"/>
              </a:solidFill>
              <a:latin typeface="+mn-lt"/>
            </a:rPr>
            <a:t>Ingreso</a:t>
          </a:r>
        </a:p>
      </xdr:txBody>
    </xdr:sp>
    <xdr:clientData/>
  </xdr:absoluteAnchor>
  <xdr:twoCellAnchor editAs="oneCell">
    <xdr:from>
      <xdr:col>10</xdr:col>
      <xdr:colOff>190500</xdr:colOff>
      <xdr:row>13</xdr:row>
      <xdr:rowOff>57652</xdr:rowOff>
    </xdr:from>
    <xdr:to>
      <xdr:col>12</xdr:col>
      <xdr:colOff>361950</xdr:colOff>
      <xdr:row>14</xdr:row>
      <xdr:rowOff>167116</xdr:rowOff>
    </xdr:to>
    <xdr:pic>
      <xdr:nvPicPr>
        <xdr:cNvPr id="27" name="Imagen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396999DC-E886-858F-A7B0-A3D1B963E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2534152"/>
          <a:ext cx="1695450" cy="29996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A1568-05C9-4AFC-BF46-A8EEDA9DC1C0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E9099-B482-4291-9EE4-431CCAB603C8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A156AA-61E3-45C7-9B12-C7347479B926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AC8D31-BFC5-4031-8F57-EA762D91C5D9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DCADC2-C0B9-4487-A67E-A8A6B1E68662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E1DA92-50B1-45A1-BE53-903967FF8CAD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F50B5D80-3C9A-4A5B-B404-958F599A5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416909BE-6195-47DB-B27D-8EFEF4776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CFCBC5F1-4A26-4618-8A8E-F1A7C79C5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22</xdr:row>
      <xdr:rowOff>37033</xdr:rowOff>
    </xdr:from>
    <xdr:to>
      <xdr:col>14</xdr:col>
      <xdr:colOff>23694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129C31C4-84DE-4EAD-9E5E-04F400079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72498B56-2BB2-4FAE-9052-24F8E2972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14</xdr:row>
      <xdr:rowOff>41397</xdr:rowOff>
    </xdr:from>
    <xdr:to>
      <xdr:col>14</xdr:col>
      <xdr:colOff>23694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2CECFD05-6D0E-41C3-BAB3-AFF1C24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26</xdr:row>
      <xdr:rowOff>34852</xdr:rowOff>
    </xdr:from>
    <xdr:to>
      <xdr:col>14</xdr:col>
      <xdr:colOff>23694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66AA8F41-E3BF-4F12-97A3-EB99B09FD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6</xdr:row>
      <xdr:rowOff>11973</xdr:rowOff>
    </xdr:from>
    <xdr:to>
      <xdr:col>14</xdr:col>
      <xdr:colOff>23694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88372DA5-766E-4CE9-99A1-0F66D22CB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18</xdr:row>
      <xdr:rowOff>39215</xdr:rowOff>
    </xdr:from>
    <xdr:to>
      <xdr:col>14</xdr:col>
      <xdr:colOff>23694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0A0947CE-4AAE-401C-9392-C4432B3C5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03AEDC52-6938-495A-93AA-43CF73E1B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10</xdr:row>
      <xdr:rowOff>46526</xdr:rowOff>
    </xdr:from>
    <xdr:to>
      <xdr:col>14</xdr:col>
      <xdr:colOff>23694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82063172-515A-4670-809C-A3992CBDF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BC782E54-CBC2-4FAA-A468-8F2931D80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0" name="CuadroText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83353EE-F53D-4AAD-B909-A49D88323D1C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F7AE5DB-8BFB-4C4C-94CB-CB93C3F14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1424584D-82CB-443A-8F34-D50D66C529E0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4D1ED05-B9D1-48F7-9D3A-780720A98CF0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extLst>
            <a:ext uri="{FF2B5EF4-FFF2-40B4-BE49-F238E27FC236}">
              <a16:creationId xmlns:a16="http://schemas.microsoft.com/office/drawing/2014/main" id="{A26CDDA0-7275-4B0D-AB44-0E42D2709E6B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H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38384B9-2EA3-41D7-95AB-4BB9784D5970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3650B8B-6E21-41D9-B85B-5F1C805E70AD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E85C231-A04B-46AB-9E13-7DA5C6093F1A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642FBC3-3565-4F76-ABDE-6C627A05B728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AE390D-1B5B-4CCB-867C-649F80690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764865-AFD7-4232-BE8E-EEC5C2BE61BD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E9796-5B65-4313-A25E-7F4FFE435077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02F2B5-4415-4A7C-AA3B-F5A798448D26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4EE50E-9E21-4D85-B467-A4B3647B4C2E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C0113C-92E5-433C-9D55-505CA36F3821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32969B-D276-4283-BEF6-A82205D8BF4B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62CC1E97-8245-43DD-8B49-F1A17D003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178DDC3E-489A-47E2-910A-0E32DCB6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286B7165-C227-402D-B3B3-1DD7E1DB4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1101969</xdr:colOff>
      <xdr:row>22</xdr:row>
      <xdr:rowOff>37033</xdr:rowOff>
    </xdr:from>
    <xdr:to>
      <xdr:col>14</xdr:col>
      <xdr:colOff>14169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DE8FF7B7-D782-4F0B-9EAA-3BA497946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8219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3A140010-5DDE-49A2-BC73-4E2243EDB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1101969</xdr:colOff>
      <xdr:row>14</xdr:row>
      <xdr:rowOff>41397</xdr:rowOff>
    </xdr:from>
    <xdr:to>
      <xdr:col>14</xdr:col>
      <xdr:colOff>14169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229EC9EB-B6C7-48AB-B5F2-24BD4FB8C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8219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1101969</xdr:colOff>
      <xdr:row>26</xdr:row>
      <xdr:rowOff>34852</xdr:rowOff>
    </xdr:from>
    <xdr:to>
      <xdr:col>14</xdr:col>
      <xdr:colOff>14169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AF8848FF-636A-4AA1-BBA7-F7703287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8219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1101969</xdr:colOff>
      <xdr:row>6</xdr:row>
      <xdr:rowOff>11973</xdr:rowOff>
    </xdr:from>
    <xdr:to>
      <xdr:col>14</xdr:col>
      <xdr:colOff>14169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4106B81B-E230-4181-9D51-4373B1F8B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8219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1101969</xdr:colOff>
      <xdr:row>18</xdr:row>
      <xdr:rowOff>39215</xdr:rowOff>
    </xdr:from>
    <xdr:to>
      <xdr:col>14</xdr:col>
      <xdr:colOff>14169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BC650822-4687-4FFA-8BB7-4255ED40B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8219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564336E9-86D3-4F24-ACFB-7F40C170E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1101969</xdr:colOff>
      <xdr:row>10</xdr:row>
      <xdr:rowOff>46526</xdr:rowOff>
    </xdr:from>
    <xdr:to>
      <xdr:col>14</xdr:col>
      <xdr:colOff>14169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25210DEC-DD09-4C84-8C6A-202C7E7F6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8219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D74FFAEF-605E-4112-BBCB-81187DAE8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0" name="CuadroText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9E4E956-07A4-4B12-9945-4BA6138CFA90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DD85B626-6137-4F78-9728-D8D14ADA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A527A34D-93E5-475A-A4E0-1093957906CF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15736C3-2BB0-46F0-ADDA-83001973CEF1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E2B35F-D163-43BD-9A96-422F9F29BBAD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extLst>
            <a:ext uri="{FF2B5EF4-FFF2-40B4-BE49-F238E27FC236}">
              <a16:creationId xmlns:a16="http://schemas.microsoft.com/office/drawing/2014/main" id="{6AAF8CB3-950D-4FDA-8851-0259A916F2E9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I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FE02911-91BE-4248-957F-260C2E1FA529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4D8B4F5-CD22-4214-98B9-1EBE5EB6DDC6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32B12F4-FD7B-4FD8-8092-5DDDBB106BB2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DE108F1-9986-4E19-B9D3-0AA806480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B0EFB-BA0D-4BF6-9EC0-08FFBA19EC3A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029878-D0EE-4E25-97DC-6F190E985034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C8C8D-52B6-4E58-B6D0-145D5183AACF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E3E8B3-5A0E-4A1B-93E4-3D3E4284D5A6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BDB7C3-60C1-48D6-8F0F-E9242D321360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13D35F-E7DC-4F29-9E89-777D93929A84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82282147-0973-4DAB-98B7-AC032B0A7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1955989B-6F91-4450-BC9A-8F222F4E1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44FF3531-FB58-4356-978F-0DF1B3D01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22</xdr:row>
      <xdr:rowOff>37033</xdr:rowOff>
    </xdr:from>
    <xdr:to>
      <xdr:col>14</xdr:col>
      <xdr:colOff>23694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AE8677FF-EEA7-4490-9836-0CFF0D567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53875B7D-1C5D-49F4-883B-AB8BAD902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14</xdr:row>
      <xdr:rowOff>41397</xdr:rowOff>
    </xdr:from>
    <xdr:to>
      <xdr:col>14</xdr:col>
      <xdr:colOff>23694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2CCBD2BE-E393-4F0C-A05A-E8DFBD1D8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26</xdr:row>
      <xdr:rowOff>34852</xdr:rowOff>
    </xdr:from>
    <xdr:to>
      <xdr:col>14</xdr:col>
      <xdr:colOff>23694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785D33EA-3664-494E-B82D-44AA401AD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6</xdr:row>
      <xdr:rowOff>11973</xdr:rowOff>
    </xdr:from>
    <xdr:to>
      <xdr:col>14</xdr:col>
      <xdr:colOff>23694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2495C542-7744-40CD-B20D-450305EBB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18</xdr:row>
      <xdr:rowOff>39215</xdr:rowOff>
    </xdr:from>
    <xdr:to>
      <xdr:col>14</xdr:col>
      <xdr:colOff>23694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28E7968E-60D5-4D9B-B946-5307AC8F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6DEC7EF2-306D-4C82-A5A5-185E3DA02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10</xdr:row>
      <xdr:rowOff>46526</xdr:rowOff>
    </xdr:from>
    <xdr:to>
      <xdr:col>14</xdr:col>
      <xdr:colOff>23694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0C604222-AB62-4BD1-92A9-6AD261851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F0DE0461-D5C5-4083-BA14-9E0C2BD81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0" name="CuadroText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708D8F9-BAB6-44D2-A74C-BF880C9714DB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F1C9D18-5BF9-4373-A36C-0723F89B3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422499D5-104A-45E1-886D-05625D911348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AF98B61-CB54-4450-85FC-9ACCA33E7636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584C69B-06B0-411B-8AC8-3FD0B39D0110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7985054-E7B6-4601-9A66-2EF5868CE2DD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extLst>
            <a:ext uri="{FF2B5EF4-FFF2-40B4-BE49-F238E27FC236}">
              <a16:creationId xmlns:a16="http://schemas.microsoft.com/office/drawing/2014/main" id="{7B24BEAA-7C71-4962-8996-54760B600D52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J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4E2A66-13A0-4153-8D14-A578FDA1D7E9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9AE3A8F-2587-40F8-A625-AD67649689E0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895E8F4D-93AB-4861-83C2-A59C3ADE2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901B5-1681-4383-AC5D-E463A9E92A62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7594E1-A4F8-4F7F-AAB8-17930A3BA364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E6611-1D39-47FA-B5A0-3C09D15FDF77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533D30-69F5-4893-8712-EAAD7D3C52FD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3E48CB-74C0-4B70-B783-B3318C79F1D1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4F2B97-FDF7-47D6-A4D3-7004A9D4AC6A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20349</xdr:rowOff>
    </xdr:from>
    <xdr:to>
      <xdr:col>5</xdr:col>
      <xdr:colOff>360526</xdr:colOff>
      <xdr:row>21</xdr:row>
      <xdr:rowOff>94599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1B42F4F8-900F-46FF-B729-AAC29BDB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449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AEA85A78-498F-4ABF-966B-12A40B9FC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20FF1B1C-9400-43C2-ABF0-E83220512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22</xdr:row>
      <xdr:rowOff>37033</xdr:rowOff>
    </xdr:from>
    <xdr:to>
      <xdr:col>14</xdr:col>
      <xdr:colOff>23694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4ADD0DDB-5765-4413-A651-7CBBB2D0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6FB38403-6063-40EE-8DC7-9525B95CF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14</xdr:row>
      <xdr:rowOff>41397</xdr:rowOff>
    </xdr:from>
    <xdr:to>
      <xdr:col>14</xdr:col>
      <xdr:colOff>23694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1C097439-6980-4405-908E-E0DD3B6F2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26</xdr:row>
      <xdr:rowOff>34852</xdr:rowOff>
    </xdr:from>
    <xdr:to>
      <xdr:col>14</xdr:col>
      <xdr:colOff>23694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7FBB8685-8714-47E4-9EAC-CB9AEFDF3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6</xdr:row>
      <xdr:rowOff>11973</xdr:rowOff>
    </xdr:from>
    <xdr:to>
      <xdr:col>14</xdr:col>
      <xdr:colOff>23694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F801605B-7AC6-43BC-9481-54032009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18</xdr:row>
      <xdr:rowOff>39215</xdr:rowOff>
    </xdr:from>
    <xdr:to>
      <xdr:col>14</xdr:col>
      <xdr:colOff>23694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3EC27273-3ECF-4B02-AEBE-FE7EA445E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7E3C1C97-2C77-4D97-84E0-E46787EFD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10</xdr:row>
      <xdr:rowOff>46526</xdr:rowOff>
    </xdr:from>
    <xdr:to>
      <xdr:col>14</xdr:col>
      <xdr:colOff>23694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7B927B2E-13F5-4164-9944-8BA19F2E4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F9A97C71-F5B0-4632-B0F2-ABC3B4754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0" name="CuadroText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F6184B1-0612-4BFE-BD81-E73630661160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FEA0B95-9EB2-4C19-87C0-5EC14FA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2F0A7342-56BB-4D79-BB83-A263CE8DE457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67299F3-1F52-4C0A-86B5-9E8AA08F5350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A9EBB68-B115-4CBD-8CC0-84EE5469AFB0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AB429A5-B583-4DC4-9F72-BAF88488A233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EC87353-A14B-4A4B-9DDA-94760F624071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extLst>
            <a:ext uri="{FF2B5EF4-FFF2-40B4-BE49-F238E27FC236}">
              <a16:creationId xmlns:a16="http://schemas.microsoft.com/office/drawing/2014/main" id="{4690966F-808D-48CB-8064-7CBD6943D5F0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K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B3DAC34-17F1-4E0F-B577-65B323E3C66D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60A3D95-6337-46F2-809E-025CDDF90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35DEB-65D2-4F22-8BE8-868120292E2D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9D54F-4944-4C4A-A2C9-62901AAC6C27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AFE5F9-C0C1-4C29-86E0-C53361934FE6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10801B-BF1D-4091-8C3B-548683B82C8B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D52D33-4832-44D4-85A8-4A67D6A3466F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D0BA36-0012-4E1D-9E5A-59C46C18D063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20349</xdr:rowOff>
    </xdr:from>
    <xdr:to>
      <xdr:col>5</xdr:col>
      <xdr:colOff>360526</xdr:colOff>
      <xdr:row>21</xdr:row>
      <xdr:rowOff>94599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FCBD099D-F838-462D-832E-E15B37D28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449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C47619D5-41F3-48AB-89A4-853B86127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10475849-325D-4D50-8D12-5654D66E0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1109655</xdr:colOff>
      <xdr:row>22</xdr:row>
      <xdr:rowOff>37034</xdr:rowOff>
    </xdr:from>
    <xdr:to>
      <xdr:col>14</xdr:col>
      <xdr:colOff>19670</xdr:colOff>
      <xdr:row>26</xdr:row>
      <xdr:rowOff>13849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06040F35-CC4F-48DD-8FED-DB11B34CA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5905" y="3123134"/>
          <a:ext cx="357815" cy="3578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55BF4833-2BBC-4135-9050-1ACA28878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1109655</xdr:colOff>
      <xdr:row>14</xdr:row>
      <xdr:rowOff>41398</xdr:rowOff>
    </xdr:from>
    <xdr:to>
      <xdr:col>14</xdr:col>
      <xdr:colOff>19670</xdr:colOff>
      <xdr:row>18</xdr:row>
      <xdr:rowOff>18213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A857C355-15C4-46BE-A87E-0D16DC5A5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5905" y="2365498"/>
          <a:ext cx="357815" cy="3578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1109655</xdr:colOff>
      <xdr:row>26</xdr:row>
      <xdr:rowOff>34853</xdr:rowOff>
    </xdr:from>
    <xdr:to>
      <xdr:col>14</xdr:col>
      <xdr:colOff>19670</xdr:colOff>
      <xdr:row>30</xdr:row>
      <xdr:rowOff>11668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17347BFF-6C04-48D5-BA12-6676FB6D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5905" y="3501953"/>
          <a:ext cx="357815" cy="3578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1111476</xdr:colOff>
      <xdr:row>6</xdr:row>
      <xdr:rowOff>11973</xdr:rowOff>
    </xdr:from>
    <xdr:to>
      <xdr:col>14</xdr:col>
      <xdr:colOff>17850</xdr:colOff>
      <xdr:row>10</xdr:row>
      <xdr:rowOff>32772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857AB56B-C701-4DA1-B30D-796E8D8E0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26" y="1621698"/>
          <a:ext cx="354174" cy="354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1109655</xdr:colOff>
      <xdr:row>18</xdr:row>
      <xdr:rowOff>39216</xdr:rowOff>
    </xdr:from>
    <xdr:to>
      <xdr:col>14</xdr:col>
      <xdr:colOff>19670</xdr:colOff>
      <xdr:row>22</xdr:row>
      <xdr:rowOff>16031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6030F59A-D21C-4D78-B30E-3EE502C74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5905" y="2744316"/>
          <a:ext cx="357815" cy="3578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17521</xdr:rowOff>
    </xdr:from>
    <xdr:to>
      <xdr:col>5</xdr:col>
      <xdr:colOff>360526</xdr:colOff>
      <xdr:row>29</xdr:row>
      <xdr:rowOff>91771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E3FA71C4-C866-4A5C-9B99-D594832D1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21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1109556</xdr:colOff>
      <xdr:row>10</xdr:row>
      <xdr:rowOff>46527</xdr:rowOff>
    </xdr:from>
    <xdr:to>
      <xdr:col>14</xdr:col>
      <xdr:colOff>19769</xdr:colOff>
      <xdr:row>14</xdr:row>
      <xdr:rowOff>23540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0D7B59E7-135F-4BCA-9B97-B74101AE7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5806" y="1989627"/>
          <a:ext cx="358013" cy="35801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1BB19A48-970B-41FE-85F8-EF4E4E215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0" name="CuadroText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2A893E5-ACE7-48D4-BC0B-801BDA10946C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DFB53B55-3143-414C-860D-2A6FD4DD0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51E69132-02AD-421F-B4F8-F7FF3A92DAE9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7EA9F39-E88C-4427-B3EA-4E8B0CDF4AEC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EC24B03-365C-4586-9AC3-75694BC6A469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E7DB9E7-0B2C-414D-A188-9582563AF6AF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538FEF8-12DB-4F04-88A6-C2FA7881D327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D084F61-12A6-4888-B7F3-6918DED631A3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extLst>
            <a:ext uri="{FF2B5EF4-FFF2-40B4-BE49-F238E27FC236}">
              <a16:creationId xmlns:a16="http://schemas.microsoft.com/office/drawing/2014/main" id="{5C1559B8-F44A-497A-88EA-3FAA3BAE6306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L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6501BCC0-3B35-4249-B3E5-547FD6AA4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800100</xdr:colOff>
      <xdr:row>1</xdr:row>
      <xdr:rowOff>333375</xdr:rowOff>
    </xdr:from>
    <xdr:ext cx="5190908" cy="264560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8431D937-3A17-C5B8-3C80-6FB926F3A8C9}"/>
            </a:ext>
          </a:extLst>
        </xdr:cNvPr>
        <xdr:cNvSpPr txBox="1"/>
      </xdr:nvSpPr>
      <xdr:spPr>
        <a:xfrm>
          <a:off x="2447925" y="657225"/>
          <a:ext cx="5190908" cy="264560"/>
        </a:xfrm>
        <a:prstGeom prst="rect">
          <a:avLst/>
        </a:prstGeom>
        <a:solidFill>
          <a:srgbClr val="EDF8C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 b="1">
              <a:solidFill>
                <a:srgbClr val="A80004"/>
              </a:solidFill>
            </a:rPr>
            <a:t>Los resultados de esta hoja no aparecerán hasta que esté completa</a:t>
          </a:r>
          <a:r>
            <a:rPr lang="es-ES" sz="1100" b="1" baseline="0">
              <a:solidFill>
                <a:srgbClr val="A80004"/>
              </a:solidFill>
            </a:rPr>
            <a:t> la Fase de grupos.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42</xdr:row>
          <xdr:rowOff>47625</xdr:rowOff>
        </xdr:from>
        <xdr:ext cx="333375" cy="295275"/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ECDCFA01-1887-404B-A080-154F8D8F7C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10" spid="_x0000_s4244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47825" y="5048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38</xdr:row>
          <xdr:rowOff>57150</xdr:rowOff>
        </xdr:from>
        <xdr:ext cx="333375" cy="295275"/>
        <xdr:pic>
          <xdr:nvPicPr>
            <xdr:cNvPr id="4" name="Imagen 3">
              <a:extLst>
                <a:ext uri="{FF2B5EF4-FFF2-40B4-BE49-F238E27FC236}">
                  <a16:creationId xmlns:a16="http://schemas.microsoft.com/office/drawing/2014/main" id="{5909B770-197B-4C2A-BBF9-B184C4EEB2F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09" spid="_x0000_s42444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47825" y="467677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47625</xdr:rowOff>
        </xdr:from>
        <xdr:to>
          <xdr:col>5</xdr:col>
          <xdr:colOff>333375</xdr:colOff>
          <xdr:row>37</xdr:row>
          <xdr:rowOff>57150</xdr:rowOff>
        </xdr:to>
        <xdr:pic>
          <xdr:nvPicPr>
            <xdr:cNvPr id="19" name="Imagen 18">
              <a:extLst>
                <a:ext uri="{FF2B5EF4-FFF2-40B4-BE49-F238E27FC236}">
                  <a16:creationId xmlns:a16="http://schemas.microsoft.com/office/drawing/2014/main" id="{00000000-0008-0000-0900-00001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08" spid="_x0000_s42444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647825" y="4286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47625</xdr:rowOff>
        </xdr:from>
        <xdr:to>
          <xdr:col>5</xdr:col>
          <xdr:colOff>333375</xdr:colOff>
          <xdr:row>33</xdr:row>
          <xdr:rowOff>57150</xdr:rowOff>
        </xdr:to>
        <xdr:pic>
          <xdr:nvPicPr>
            <xdr:cNvPr id="18" name="Imagen 17">
              <a:extLst>
                <a:ext uri="{FF2B5EF4-FFF2-40B4-BE49-F238E27FC236}">
                  <a16:creationId xmlns:a16="http://schemas.microsoft.com/office/drawing/2014/main" id="{00000000-0008-0000-0900-00001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07" spid="_x0000_s42444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647825" y="3905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47625</xdr:rowOff>
        </xdr:from>
        <xdr:to>
          <xdr:col>5</xdr:col>
          <xdr:colOff>333375</xdr:colOff>
          <xdr:row>29</xdr:row>
          <xdr:rowOff>47625</xdr:rowOff>
        </xdr:to>
        <mc:AlternateContent>
          <mc:Choice Requires="a14">
            <xdr:pic>
              <xdr:nvPicPr>
                <xdr:cNvPr id="16" name="Imagen 15">
                  <a:extLst>
                    <a:ext uri="{FF2B5EF4-FFF2-40B4-BE49-F238E27FC236}">
                      <a16:creationId xmlns:a16="http://schemas.microsoft.com/office/drawing/2014/main" id="{00000000-0008-0000-0900-000010000000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flag06" spid="_x0000_s424445"/>
                    </a:ext>
                  </a:extLst>
                </xdr:cNvPicPr>
              </xdr:nvPicPr>
              <xdr:blipFill>
                <a:blip xmlns:r="http://schemas.openxmlformats.org/officeDocument/2006/relationships" r:embed="rId5"/>
                <a:srcRect/>
                <a:stretch>
                  <a:fillRect/>
                </a:stretch>
              </xdr:blipFill>
              <xdr:spPr bwMode="auto">
                <a:xfrm>
                  <a:off x="1647825" y="3514725"/>
                  <a:ext cx="333375" cy="2952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47625</xdr:rowOff>
        </xdr:from>
        <xdr:to>
          <xdr:col>5</xdr:col>
          <xdr:colOff>333375</xdr:colOff>
          <xdr:row>25</xdr:row>
          <xdr:rowOff>57150</xdr:rowOff>
        </xdr:to>
        <xdr:pic>
          <xdr:nvPicPr>
            <xdr:cNvPr id="15" name="Imagen 14">
              <a:extLst>
                <a:ext uri="{FF2B5EF4-FFF2-40B4-BE49-F238E27FC236}">
                  <a16:creationId xmlns:a16="http://schemas.microsoft.com/office/drawing/2014/main" id="{00000000-0008-0000-0900-00000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05" spid="_x0000_s424446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1647825" y="3133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47625</xdr:rowOff>
        </xdr:from>
        <xdr:to>
          <xdr:col>5</xdr:col>
          <xdr:colOff>333375</xdr:colOff>
          <xdr:row>21</xdr:row>
          <xdr:rowOff>57150</xdr:rowOff>
        </xdr:to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04" spid="_x0000_s424447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647825" y="2752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5</xdr:col>
          <xdr:colOff>333375</xdr:colOff>
          <xdr:row>17</xdr:row>
          <xdr:rowOff>57150</xdr:rowOff>
        </xdr:to>
        <xdr:pic>
          <xdr:nvPicPr>
            <xdr:cNvPr id="11" name="Imagen 10">
              <a:extLst>
                <a:ext uri="{FF2B5EF4-FFF2-40B4-BE49-F238E27FC236}">
                  <a16:creationId xmlns:a16="http://schemas.microsoft.com/office/drawing/2014/main" id="{00000000-0008-0000-09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03" spid="_x0000_s424448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1647825" y="2371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47625</xdr:rowOff>
        </xdr:from>
        <xdr:to>
          <xdr:col>5</xdr:col>
          <xdr:colOff>333375</xdr:colOff>
          <xdr:row>13</xdr:row>
          <xdr:rowOff>57150</xdr:rowOff>
        </xdr:to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id="{00000000-0008-0000-09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02" spid="_x0000_s424449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1647825" y="1990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333375</xdr:colOff>
          <xdr:row>9</xdr:row>
          <xdr:rowOff>57150</xdr:rowOff>
        </xdr:to>
        <mc:AlternateContent>
          <mc:Choice Requires="a14">
            <xdr:pic>
              <xdr:nvPicPr>
                <xdr:cNvPr id="8" name="Imagen 7">
                  <a:extLst>
                    <a:ext uri="{FF2B5EF4-FFF2-40B4-BE49-F238E27FC236}">
                      <a16:creationId xmlns:a16="http://schemas.microsoft.com/office/drawing/2014/main" id="{00000000-0008-0000-0900-000008000000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flag01" spid="_x0000_s424450"/>
                    </a:ext>
                  </a:extLst>
                </xdr:cNvPicPr>
              </xdr:nvPicPr>
              <xdr:blipFill>
                <a:blip xmlns:r="http://schemas.openxmlformats.org/officeDocument/2006/relationships" r:embed="rId10"/>
                <a:srcRect/>
                <a:stretch>
                  <a:fillRect/>
                </a:stretch>
              </xdr:blipFill>
              <xdr:spPr bwMode="auto">
                <a:xfrm>
                  <a:off x="1647825" y="1609725"/>
                  <a:ext cx="333375" cy="2952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66</xdr:row>
          <xdr:rowOff>47625</xdr:rowOff>
        </xdr:from>
        <xdr:ext cx="333375" cy="295275"/>
        <mc:AlternateContent>
          <mc:Choice Requires="a14">
            <xdr:pic>
              <xdr:nvPicPr>
                <xdr:cNvPr id="30" name="Imagen 29">
                  <a:extLst>
                    <a:ext uri="{FF2B5EF4-FFF2-40B4-BE49-F238E27FC236}">
                      <a16:creationId xmlns:a16="http://schemas.microsoft.com/office/drawing/2014/main" id="{5A8860C5-7118-4C95-B9F0-91F5DA0447E1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flag16" spid="_x0000_s424451"/>
                    </a:ext>
                  </a:extLst>
                </xdr:cNvPicPr>
              </xdr:nvPicPr>
              <xdr:blipFill>
                <a:blip xmlns:r="http://schemas.openxmlformats.org/officeDocument/2006/relationships" r:embed="rId11"/>
                <a:srcRect/>
                <a:stretch>
                  <a:fillRect/>
                </a:stretch>
              </xdr:blipFill>
              <xdr:spPr bwMode="auto">
                <a:xfrm>
                  <a:off x="1647825" y="7334250"/>
                  <a:ext cx="333375" cy="2952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66</xdr:row>
          <xdr:rowOff>47625</xdr:rowOff>
        </xdr:from>
        <xdr:ext cx="342900" cy="304800"/>
        <xdr:pic>
          <xdr:nvPicPr>
            <xdr:cNvPr id="67" name="Imagen 66">
              <a:extLst>
                <a:ext uri="{FF2B5EF4-FFF2-40B4-BE49-F238E27FC236}">
                  <a16:creationId xmlns:a16="http://schemas.microsoft.com/office/drawing/2014/main" id="{CBED7551-D10A-4DBA-A57C-F0C87765B7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2" spid="_x0000_s424452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62</xdr:row>
          <xdr:rowOff>47625</xdr:rowOff>
        </xdr:from>
        <xdr:ext cx="342900" cy="304800"/>
        <xdr:pic>
          <xdr:nvPicPr>
            <xdr:cNvPr id="65" name="Imagen 64">
              <a:extLst>
                <a:ext uri="{FF2B5EF4-FFF2-40B4-BE49-F238E27FC236}">
                  <a16:creationId xmlns:a16="http://schemas.microsoft.com/office/drawing/2014/main" id="{60DE90E5-0FDF-49BD-B587-3F570DCEE5D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1" spid="_x0000_s424453"/>
                </a:ext>
              </a:extLst>
            </xdr:cNvPicPr>
          </xdr:nvPicPr>
          <xdr:blipFill>
            <a:blip xmlns:r="http://schemas.openxmlformats.org/officeDocument/2006/relationships" r:embed="rId13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58</xdr:row>
          <xdr:rowOff>47625</xdr:rowOff>
        </xdr:from>
        <xdr:ext cx="342900" cy="304800"/>
        <xdr:pic>
          <xdr:nvPicPr>
            <xdr:cNvPr id="63" name="Imagen 62">
              <a:extLst>
                <a:ext uri="{FF2B5EF4-FFF2-40B4-BE49-F238E27FC236}">
                  <a16:creationId xmlns:a16="http://schemas.microsoft.com/office/drawing/2014/main" id="{1B9E713E-3B64-46E4-AB6D-3F24630B9C7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0" spid="_x0000_s424454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54</xdr:row>
          <xdr:rowOff>47625</xdr:rowOff>
        </xdr:from>
        <xdr:ext cx="342900" cy="304800"/>
        <xdr:pic>
          <xdr:nvPicPr>
            <xdr:cNvPr id="61" name="Imagen 60">
              <a:extLst>
                <a:ext uri="{FF2B5EF4-FFF2-40B4-BE49-F238E27FC236}">
                  <a16:creationId xmlns:a16="http://schemas.microsoft.com/office/drawing/2014/main" id="{6752C129-F478-41BF-83FF-7F0083CE290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29" spid="_x0000_s424455"/>
                </a:ext>
              </a:extLst>
            </xdr:cNvPicPr>
          </xdr:nvPicPr>
          <xdr:blipFill>
            <a:blip xmlns:r="http://schemas.openxmlformats.org/officeDocument/2006/relationships" r:embed="rId15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50</xdr:row>
          <xdr:rowOff>47625</xdr:rowOff>
        </xdr:from>
        <xdr:ext cx="342900" cy="304800"/>
        <xdr:pic>
          <xdr:nvPicPr>
            <xdr:cNvPr id="59" name="Imagen 58">
              <a:extLst>
                <a:ext uri="{FF2B5EF4-FFF2-40B4-BE49-F238E27FC236}">
                  <a16:creationId xmlns:a16="http://schemas.microsoft.com/office/drawing/2014/main" id="{4A9ACCDE-047A-4313-B3AD-4AAA1FD82EF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28" spid="_x0000_s424456"/>
                </a:ext>
              </a:extLst>
            </xdr:cNvPicPr>
          </xdr:nvPicPr>
          <xdr:blipFill>
            <a:blip xmlns:r="http://schemas.openxmlformats.org/officeDocument/2006/relationships" r:embed="rId16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46</xdr:row>
          <xdr:rowOff>47625</xdr:rowOff>
        </xdr:from>
        <xdr:ext cx="342900" cy="304800"/>
        <xdr:pic>
          <xdr:nvPicPr>
            <xdr:cNvPr id="57" name="Imagen 56">
              <a:extLst>
                <a:ext uri="{FF2B5EF4-FFF2-40B4-BE49-F238E27FC236}">
                  <a16:creationId xmlns:a16="http://schemas.microsoft.com/office/drawing/2014/main" id="{E811E6C9-D05C-4245-AD6C-75FEF56AD1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27" spid="_x0000_s424457"/>
                </a:ext>
              </a:extLst>
            </xdr:cNvPicPr>
          </xdr:nvPicPr>
          <xdr:blipFill>
            <a:blip xmlns:r="http://schemas.openxmlformats.org/officeDocument/2006/relationships" r:embed="rId17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42</xdr:row>
          <xdr:rowOff>47625</xdr:rowOff>
        </xdr:from>
        <xdr:ext cx="342900" cy="304800"/>
        <xdr:pic>
          <xdr:nvPicPr>
            <xdr:cNvPr id="55" name="Imagen 54">
              <a:extLst>
                <a:ext uri="{FF2B5EF4-FFF2-40B4-BE49-F238E27FC236}">
                  <a16:creationId xmlns:a16="http://schemas.microsoft.com/office/drawing/2014/main" id="{82D971CE-3026-44B2-81F6-A0648067228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26" spid="_x0000_s424458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38</xdr:row>
          <xdr:rowOff>47625</xdr:rowOff>
        </xdr:from>
        <xdr:ext cx="342900" cy="304800"/>
        <xdr:pic>
          <xdr:nvPicPr>
            <xdr:cNvPr id="53" name="Imagen 52">
              <a:extLst>
                <a:ext uri="{FF2B5EF4-FFF2-40B4-BE49-F238E27FC236}">
                  <a16:creationId xmlns:a16="http://schemas.microsoft.com/office/drawing/2014/main" id="{7280E63A-28BF-47F2-A251-4E0AA728EBA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25" spid="_x0000_s424459"/>
                </a:ext>
              </a:extLst>
            </xdr:cNvPicPr>
          </xdr:nvPicPr>
          <xdr:blipFill>
            <a:blip xmlns:r="http://schemas.openxmlformats.org/officeDocument/2006/relationships" r:embed="rId19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34</xdr:row>
          <xdr:rowOff>47625</xdr:rowOff>
        </xdr:from>
        <xdr:ext cx="342900" cy="304800"/>
        <xdr:pic>
          <xdr:nvPicPr>
            <xdr:cNvPr id="51" name="Imagen 50">
              <a:extLst>
                <a:ext uri="{FF2B5EF4-FFF2-40B4-BE49-F238E27FC236}">
                  <a16:creationId xmlns:a16="http://schemas.microsoft.com/office/drawing/2014/main" id="{09F308E7-EE5D-4E8D-B3C1-533F92E6E39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24" spid="_x0000_s424460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30</xdr:row>
          <xdr:rowOff>47625</xdr:rowOff>
        </xdr:from>
        <xdr:ext cx="342900" cy="304800"/>
        <xdr:pic>
          <xdr:nvPicPr>
            <xdr:cNvPr id="49" name="Imagen 48">
              <a:extLst>
                <a:ext uri="{FF2B5EF4-FFF2-40B4-BE49-F238E27FC236}">
                  <a16:creationId xmlns:a16="http://schemas.microsoft.com/office/drawing/2014/main" id="{420C7DE4-E754-4755-9FAC-EA4EDECED34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23" spid="_x0000_s424461"/>
                </a:ext>
              </a:extLst>
            </xdr:cNvPicPr>
          </xdr:nvPicPr>
          <xdr:blipFill>
            <a:blip xmlns:r="http://schemas.openxmlformats.org/officeDocument/2006/relationships" r:embed="rId21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26</xdr:row>
          <xdr:rowOff>47625</xdr:rowOff>
        </xdr:from>
        <xdr:to>
          <xdr:col>14</xdr:col>
          <xdr:colOff>9525</xdr:colOff>
          <xdr:row>29</xdr:row>
          <xdr:rowOff>57150</xdr:rowOff>
        </xdr:to>
        <mc:AlternateContent>
          <mc:Choice Requires="a14">
            <xdr:pic>
              <xdr:nvPicPr>
                <xdr:cNvPr id="27" name="Imagen 26">
                  <a:extLst>
                    <a:ext uri="{FF2B5EF4-FFF2-40B4-BE49-F238E27FC236}">
                      <a16:creationId xmlns:a16="http://schemas.microsoft.com/office/drawing/2014/main" id="{00000000-0008-0000-0900-00001B000000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flag22" spid="_x0000_s424462"/>
                    </a:ext>
                  </a:extLst>
                </xdr:cNvPicPr>
              </xdr:nvPicPr>
              <xdr:blipFill>
                <a:blip xmlns:r="http://schemas.openxmlformats.org/officeDocument/2006/relationships" r:embed="rId22"/>
                <a:srcRect/>
                <a:stretch>
                  <a:fillRect/>
                </a:stretch>
              </xdr:blipFill>
              <xdr:spPr bwMode="auto">
                <a:xfrm>
                  <a:off x="5267325" y="3390900"/>
                  <a:ext cx="342900" cy="304800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22</xdr:row>
          <xdr:rowOff>47625</xdr:rowOff>
        </xdr:from>
        <xdr:ext cx="342900" cy="304800"/>
        <mc:AlternateContent>
          <mc:Choice Requires="a14">
            <xdr:pic>
              <xdr:nvPicPr>
                <xdr:cNvPr id="47" name="Imagen 46">
                  <a:extLst>
                    <a:ext uri="{FF2B5EF4-FFF2-40B4-BE49-F238E27FC236}">
                      <a16:creationId xmlns:a16="http://schemas.microsoft.com/office/drawing/2014/main" id="{A256927D-D14C-40A1-8EAF-376BC406F548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flag21" spid="_x0000_s424463"/>
                    </a:ext>
                  </a:extLst>
                </xdr:cNvPicPr>
              </xdr:nvPicPr>
              <xdr:blipFill>
                <a:blip xmlns:r="http://schemas.openxmlformats.org/officeDocument/2006/relationships" r:embed="rId23"/>
                <a:srcRect/>
                <a:stretch>
                  <a:fillRect/>
                </a:stretch>
              </xdr:blipFill>
              <xdr:spPr bwMode="auto">
                <a:xfrm>
                  <a:off x="5267325" y="1990725"/>
                  <a:ext cx="342900" cy="304800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18</xdr:row>
          <xdr:rowOff>47625</xdr:rowOff>
        </xdr:from>
        <xdr:ext cx="342900" cy="304800"/>
        <xdr:pic>
          <xdr:nvPicPr>
            <xdr:cNvPr id="45" name="Imagen 44">
              <a:extLst>
                <a:ext uri="{FF2B5EF4-FFF2-40B4-BE49-F238E27FC236}">
                  <a16:creationId xmlns:a16="http://schemas.microsoft.com/office/drawing/2014/main" id="{6B86DE7C-6C0A-4804-9B5E-6F5F49B430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20" spid="_x0000_s424464"/>
                </a:ext>
              </a:extLst>
            </xdr:cNvPicPr>
          </xdr:nvPicPr>
          <xdr:blipFill>
            <a:blip xmlns:r="http://schemas.openxmlformats.org/officeDocument/2006/relationships" r:embed="rId24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14</xdr:row>
          <xdr:rowOff>47625</xdr:rowOff>
        </xdr:from>
        <xdr:ext cx="342900" cy="304800"/>
        <xdr:pic>
          <xdr:nvPicPr>
            <xdr:cNvPr id="43" name="Imagen 42">
              <a:extLst>
                <a:ext uri="{FF2B5EF4-FFF2-40B4-BE49-F238E27FC236}">
                  <a16:creationId xmlns:a16="http://schemas.microsoft.com/office/drawing/2014/main" id="{1CE6E0FA-993E-4FEE-B55D-6403376642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19" spid="_x0000_s424465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1047750</xdr:colOff>
          <xdr:row>10</xdr:row>
          <xdr:rowOff>47625</xdr:rowOff>
        </xdr:from>
        <xdr:ext cx="342900" cy="304800"/>
        <mc:AlternateContent>
          <mc:Choice Requires="a14">
            <xdr:pic>
              <xdr:nvPicPr>
                <xdr:cNvPr id="41" name="Imagen 40">
                  <a:extLst>
                    <a:ext uri="{FF2B5EF4-FFF2-40B4-BE49-F238E27FC236}">
                      <a16:creationId xmlns:a16="http://schemas.microsoft.com/office/drawing/2014/main" id="{1329882F-B8DE-43CD-B942-7BFFF386F6DA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flag18" spid="_x0000_s424466"/>
                    </a:ext>
                  </a:extLst>
                </xdr:cNvPicPr>
              </xdr:nvPicPr>
              <xdr:blipFill>
                <a:blip xmlns:r="http://schemas.openxmlformats.org/officeDocument/2006/relationships" r:embed="rId26"/>
                <a:srcRect/>
                <a:stretch>
                  <a:fillRect/>
                </a:stretch>
              </xdr:blipFill>
              <xdr:spPr bwMode="auto">
                <a:xfrm>
                  <a:off x="5267325" y="3514725"/>
                  <a:ext cx="342900" cy="304800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6</xdr:row>
          <xdr:rowOff>0</xdr:rowOff>
        </xdr:from>
        <xdr:to>
          <xdr:col>14</xdr:col>
          <xdr:colOff>0</xdr:colOff>
          <xdr:row>9</xdr:row>
          <xdr:rowOff>57150</xdr:rowOff>
        </xdr:to>
        <mc:AlternateContent>
          <mc:Choice Requires="a14">
            <xdr:pic>
              <xdr:nvPicPr>
                <xdr:cNvPr id="20" name="Imagen 19">
                  <a:extLst>
                    <a:ext uri="{FF2B5EF4-FFF2-40B4-BE49-F238E27FC236}">
                      <a16:creationId xmlns:a16="http://schemas.microsoft.com/office/drawing/2014/main" id="{00000000-0008-0000-0900-000014000000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flag17" spid="_x0000_s424467"/>
                    </a:ext>
                  </a:extLst>
                </xdr:cNvPicPr>
              </xdr:nvPicPr>
              <xdr:blipFill>
                <a:blip xmlns:r="http://schemas.openxmlformats.org/officeDocument/2006/relationships" r:embed="rId27"/>
                <a:srcRect/>
                <a:stretch>
                  <a:fillRect/>
                </a:stretch>
              </xdr:blipFill>
              <xdr:spPr bwMode="auto">
                <a:xfrm>
                  <a:off x="5267325" y="1609725"/>
                  <a:ext cx="333375" cy="2952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twoCellAnchor>
    </mc:Choice>
    <mc:Fallback/>
  </mc:AlternateContent>
  <xdr:oneCellAnchor>
    <xdr:from>
      <xdr:col>5</xdr:col>
      <xdr:colOff>800100</xdr:colOff>
      <xdr:row>2</xdr:row>
      <xdr:rowOff>104775</xdr:rowOff>
    </xdr:from>
    <xdr:ext cx="5191200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2447925" y="876300"/>
          <a:ext cx="5191200" cy="264560"/>
        </a:xfrm>
        <a:prstGeom prst="rect">
          <a:avLst/>
        </a:prstGeom>
        <a:solidFill>
          <a:srgbClr val="EDF8C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>
              <a:solidFill>
                <a:srgbClr val="A80004"/>
              </a:solidFill>
            </a:rPr>
            <a:t>Observación:</a:t>
          </a:r>
          <a:r>
            <a:rPr lang="es-ES" sz="1100">
              <a:solidFill>
                <a:srgbClr val="C70006"/>
              </a:solidFill>
            </a:rPr>
            <a:t> </a:t>
          </a:r>
          <a:r>
            <a:rPr lang="es-ES" sz="1100">
              <a:solidFill>
                <a:sysClr val="windowText" lastClr="000000"/>
              </a:solidFill>
            </a:rPr>
            <a:t>Si el partido se define por penales, éstos deben sumarse al resultado.</a:t>
          </a:r>
        </a:p>
      </xdr:txBody>
    </xdr:sp>
    <xdr:clientData/>
  </xdr:oneCellAnchor>
  <xdr:oneCellAnchor>
    <xdr:from>
      <xdr:col>11</xdr:col>
      <xdr:colOff>0</xdr:colOff>
      <xdr:row>4</xdr:row>
      <xdr:rowOff>0</xdr:rowOff>
    </xdr:from>
    <xdr:ext cx="2099164" cy="233205"/>
    <xdr:sp macro="" textlink="">
      <xdr:nvSpPr>
        <xdr:cNvPr id="6" name="CuadroTexto 5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C39E0F2C-0632-40A8-97C0-8DA3193AB6C9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oneCellAnchor>
    <xdr:from>
      <xdr:col>5</xdr:col>
      <xdr:colOff>742950</xdr:colOff>
      <xdr:row>0</xdr:row>
      <xdr:rowOff>257175</xdr:rowOff>
    </xdr:from>
    <xdr:ext cx="2447721" cy="405432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C32053B-40AC-4E45-87F1-846586395E7B}"/>
            </a:ext>
          </a:extLst>
        </xdr:cNvPr>
        <xdr:cNvSpPr txBox="1"/>
      </xdr:nvSpPr>
      <xdr:spPr>
        <a:xfrm>
          <a:off x="2390775" y="257175"/>
          <a:ext cx="2447721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Dieciseisavos</a:t>
          </a:r>
          <a:r>
            <a:rPr lang="es-UY" sz="2000" b="1" baseline="0">
              <a:solidFill>
                <a:sysClr val="windowText" lastClr="000000"/>
              </a:solidFill>
            </a:rPr>
            <a:t> de final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1</xdr:col>
      <xdr:colOff>0</xdr:colOff>
      <xdr:row>0</xdr:row>
      <xdr:rowOff>95250</xdr:rowOff>
    </xdr:from>
    <xdr:to>
      <xdr:col>5</xdr:col>
      <xdr:colOff>363436</xdr:colOff>
      <xdr:row>3</xdr:row>
      <xdr:rowOff>90276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3070974-562D-48A8-BF74-EBE4609A3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5250"/>
          <a:ext cx="1630261" cy="957051"/>
        </a:xfrm>
        <a:prstGeom prst="rect">
          <a:avLst/>
        </a:prstGeom>
      </xdr:spPr>
    </xdr:pic>
    <xdr:clientData/>
  </xdr:twoCellAnchor>
  <xdr:twoCellAnchor editAs="oneCell">
    <xdr:from>
      <xdr:col>20</xdr:col>
      <xdr:colOff>866775</xdr:colOff>
      <xdr:row>0</xdr:row>
      <xdr:rowOff>66675</xdr:rowOff>
    </xdr:from>
    <xdr:to>
      <xdr:col>23</xdr:col>
      <xdr:colOff>232425</xdr:colOff>
      <xdr:row>1</xdr:row>
      <xdr:rowOff>12072</xdr:rowOff>
    </xdr:to>
    <xdr:pic>
      <xdr:nvPicPr>
        <xdr:cNvPr id="3" name="Imagen 2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B1CAA911-64B2-4C91-A407-0D9AFA361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66675"/>
          <a:ext cx="1404000" cy="26924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46</xdr:row>
          <xdr:rowOff>47625</xdr:rowOff>
        </xdr:from>
        <xdr:ext cx="333375" cy="295275"/>
        <xdr:pic>
          <xdr:nvPicPr>
            <xdr:cNvPr id="10" name="Imagen 9">
              <a:extLst>
                <a:ext uri="{FF2B5EF4-FFF2-40B4-BE49-F238E27FC236}">
                  <a16:creationId xmlns:a16="http://schemas.microsoft.com/office/drawing/2014/main" id="{E888A935-A9B1-4A85-A1B7-85EC79E7F7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11" spid="_x0000_s424468"/>
                </a:ext>
              </a:extLst>
            </xdr:cNvPicPr>
          </xdr:nvPicPr>
          <xdr:blipFill>
            <a:blip xmlns:r="http://schemas.openxmlformats.org/officeDocument/2006/relationships" r:embed="rId32"/>
            <a:srcRect/>
            <a:stretch>
              <a:fillRect/>
            </a:stretch>
          </xdr:blipFill>
          <xdr:spPr bwMode="auto">
            <a:xfrm>
              <a:off x="1647825" y="5429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50</xdr:row>
          <xdr:rowOff>47625</xdr:rowOff>
        </xdr:from>
        <xdr:ext cx="333375" cy="295275"/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4E24894A-439A-4C22-A506-940982200A3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12" spid="_x0000_s424469"/>
                </a:ext>
              </a:extLst>
            </xdr:cNvPicPr>
          </xdr:nvPicPr>
          <xdr:blipFill>
            <a:blip xmlns:r="http://schemas.openxmlformats.org/officeDocument/2006/relationships" r:embed="rId33"/>
            <a:srcRect/>
            <a:stretch>
              <a:fillRect/>
            </a:stretch>
          </xdr:blipFill>
          <xdr:spPr bwMode="auto">
            <a:xfrm>
              <a:off x="1647825" y="5810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54</xdr:row>
          <xdr:rowOff>47625</xdr:rowOff>
        </xdr:from>
        <xdr:ext cx="333375" cy="295275"/>
        <xdr:pic>
          <xdr:nvPicPr>
            <xdr:cNvPr id="17" name="Imagen 16">
              <a:extLst>
                <a:ext uri="{FF2B5EF4-FFF2-40B4-BE49-F238E27FC236}">
                  <a16:creationId xmlns:a16="http://schemas.microsoft.com/office/drawing/2014/main" id="{C1464F82-DEE2-4EC1-ABBF-84ABE712B5B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13" spid="_x0000_s424470"/>
                </a:ext>
              </a:extLst>
            </xdr:cNvPicPr>
          </xdr:nvPicPr>
          <xdr:blipFill>
            <a:blip xmlns:r="http://schemas.openxmlformats.org/officeDocument/2006/relationships" r:embed="rId34"/>
            <a:srcRect/>
            <a:stretch>
              <a:fillRect/>
            </a:stretch>
          </xdr:blipFill>
          <xdr:spPr bwMode="auto">
            <a:xfrm>
              <a:off x="1647825" y="6191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58</xdr:row>
          <xdr:rowOff>47625</xdr:rowOff>
        </xdr:from>
        <xdr:ext cx="333375" cy="295275"/>
        <xdr:pic>
          <xdr:nvPicPr>
            <xdr:cNvPr id="21" name="Imagen 20">
              <a:extLst>
                <a:ext uri="{FF2B5EF4-FFF2-40B4-BE49-F238E27FC236}">
                  <a16:creationId xmlns:a16="http://schemas.microsoft.com/office/drawing/2014/main" id="{B9DE7481-E475-49AB-94AE-1988F2EE6BA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14" spid="_x0000_s424471"/>
                </a:ext>
              </a:extLst>
            </xdr:cNvPicPr>
          </xdr:nvPicPr>
          <xdr:blipFill>
            <a:blip xmlns:r="http://schemas.openxmlformats.org/officeDocument/2006/relationships" r:embed="rId35"/>
            <a:srcRect/>
            <a:stretch>
              <a:fillRect/>
            </a:stretch>
          </xdr:blipFill>
          <xdr:spPr bwMode="auto">
            <a:xfrm>
              <a:off x="1647825" y="6572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62</xdr:row>
          <xdr:rowOff>47625</xdr:rowOff>
        </xdr:from>
        <xdr:ext cx="333375" cy="295275"/>
        <xdr:pic>
          <xdr:nvPicPr>
            <xdr:cNvPr id="22" name="Imagen 21">
              <a:extLst>
                <a:ext uri="{FF2B5EF4-FFF2-40B4-BE49-F238E27FC236}">
                  <a16:creationId xmlns:a16="http://schemas.microsoft.com/office/drawing/2014/main" id="{1FDC7F25-FFCE-4B83-95E2-D6E29D2BAF0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15" spid="_x0000_s424472"/>
                </a:ext>
              </a:extLst>
            </xdr:cNvPicPr>
          </xdr:nvPicPr>
          <xdr:blipFill>
            <a:blip xmlns:r="http://schemas.openxmlformats.org/officeDocument/2006/relationships" r:embed="rId36"/>
            <a:srcRect/>
            <a:stretch>
              <a:fillRect/>
            </a:stretch>
          </xdr:blipFill>
          <xdr:spPr bwMode="auto">
            <a:xfrm>
              <a:off x="1647825" y="6953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30</xdr:row>
          <xdr:rowOff>47625</xdr:rowOff>
        </xdr:from>
        <xdr:to>
          <xdr:col>14</xdr:col>
          <xdr:colOff>9525</xdr:colOff>
          <xdr:row>33</xdr:row>
          <xdr:rowOff>66675</xdr:rowOff>
        </xdr:to>
        <xdr:pic>
          <xdr:nvPicPr>
            <xdr:cNvPr id="17" name="Imagen 16">
              <a:extLst>
                <a:ext uri="{FF2B5EF4-FFF2-40B4-BE49-F238E27FC236}">
                  <a16:creationId xmlns:a16="http://schemas.microsoft.com/office/drawing/2014/main" id="{15A02CAC-2A6A-434C-AFC0-530C26DC168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7" spid="_x0000_s43746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267325" y="3905250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6</xdr:row>
          <xdr:rowOff>0</xdr:rowOff>
        </xdr:from>
        <xdr:to>
          <xdr:col>14</xdr:col>
          <xdr:colOff>9525</xdr:colOff>
          <xdr:row>9</xdr:row>
          <xdr:rowOff>66675</xdr:rowOff>
        </xdr:to>
        <xdr:pic>
          <xdr:nvPicPr>
            <xdr:cNvPr id="11" name="Imagen 10">
              <a:extLst>
                <a:ext uri="{FF2B5EF4-FFF2-40B4-BE49-F238E27FC236}">
                  <a16:creationId xmlns:a16="http://schemas.microsoft.com/office/drawing/2014/main" id="{A0F6B499-48BE-4BFB-9649-5564BFE0EF4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1" spid="_x0000_s43746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267325" y="1609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47625</xdr:rowOff>
        </xdr:from>
        <xdr:to>
          <xdr:col>5</xdr:col>
          <xdr:colOff>333375</xdr:colOff>
          <xdr:row>38</xdr:row>
          <xdr:rowOff>9525</xdr:rowOff>
        </xdr:to>
        <xdr:pic>
          <xdr:nvPicPr>
            <xdr:cNvPr id="23" name="Imagen 22">
              <a:extLst>
                <a:ext uri="{FF2B5EF4-FFF2-40B4-BE49-F238E27FC236}">
                  <a16:creationId xmlns:a16="http://schemas.microsoft.com/office/drawing/2014/main" id="{1336F4A3-836D-4F62-BEC0-F9EA6F97AB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0" spid="_x0000_s437466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647825" y="4286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47625</xdr:rowOff>
        </xdr:from>
        <xdr:to>
          <xdr:col>5</xdr:col>
          <xdr:colOff>333375</xdr:colOff>
          <xdr:row>33</xdr:row>
          <xdr:rowOff>57150</xdr:rowOff>
        </xdr:to>
        <xdr:pic>
          <xdr:nvPicPr>
            <xdr:cNvPr id="24" name="Imagen 23">
              <a:extLst>
                <a:ext uri="{FF2B5EF4-FFF2-40B4-BE49-F238E27FC236}">
                  <a16:creationId xmlns:a16="http://schemas.microsoft.com/office/drawing/2014/main" id="{A03AE1DE-366E-4D32-B742-465B9597007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9" spid="_x0000_s43746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647825" y="3905250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47625</xdr:rowOff>
        </xdr:from>
        <xdr:to>
          <xdr:col>5</xdr:col>
          <xdr:colOff>333375</xdr:colOff>
          <xdr:row>29</xdr:row>
          <xdr:rowOff>47625</xdr:rowOff>
        </xdr:to>
        <xdr:pic>
          <xdr:nvPicPr>
            <xdr:cNvPr id="25" name="Imagen 24">
              <a:extLst>
                <a:ext uri="{FF2B5EF4-FFF2-40B4-BE49-F238E27FC236}">
                  <a16:creationId xmlns:a16="http://schemas.microsoft.com/office/drawing/2014/main" id="{C185E52F-5EF3-45D3-A109-C659589259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8" spid="_x0000_s43746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1647825" y="3514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47625</xdr:rowOff>
        </xdr:from>
        <xdr:to>
          <xdr:col>5</xdr:col>
          <xdr:colOff>333375</xdr:colOff>
          <xdr:row>25</xdr:row>
          <xdr:rowOff>57150</xdr:rowOff>
        </xdr:to>
        <xdr:pic>
          <xdr:nvPicPr>
            <xdr:cNvPr id="26" name="Imagen 25">
              <a:extLst>
                <a:ext uri="{FF2B5EF4-FFF2-40B4-BE49-F238E27FC236}">
                  <a16:creationId xmlns:a16="http://schemas.microsoft.com/office/drawing/2014/main" id="{A652FFE4-19DD-46F9-A51B-6BDA7DFF573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7" spid="_x0000_s437469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1647825" y="3133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47625</xdr:rowOff>
        </xdr:from>
        <xdr:to>
          <xdr:col>5</xdr:col>
          <xdr:colOff>333375</xdr:colOff>
          <xdr:row>21</xdr:row>
          <xdr:rowOff>57150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358E90F4-2DBC-44CA-BE1A-9ABA173A353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6" spid="_x0000_s437470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647825" y="2752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5</xdr:col>
          <xdr:colOff>333375</xdr:colOff>
          <xdr:row>17</xdr:row>
          <xdr:rowOff>57150</xdr:rowOff>
        </xdr:to>
        <xdr:pic>
          <xdr:nvPicPr>
            <xdr:cNvPr id="28" name="Imagen 27">
              <a:extLst>
                <a:ext uri="{FF2B5EF4-FFF2-40B4-BE49-F238E27FC236}">
                  <a16:creationId xmlns:a16="http://schemas.microsoft.com/office/drawing/2014/main" id="{821652C8-40A8-41BC-AFF6-3620DCDAAE9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5" spid="_x0000_s437471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1647825" y="2371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47625</xdr:rowOff>
        </xdr:from>
        <xdr:to>
          <xdr:col>5</xdr:col>
          <xdr:colOff>333375</xdr:colOff>
          <xdr:row>13</xdr:row>
          <xdr:rowOff>57150</xdr:rowOff>
        </xdr:to>
        <xdr:pic>
          <xdr:nvPicPr>
            <xdr:cNvPr id="29" name="Imagen 28">
              <a:extLst>
                <a:ext uri="{FF2B5EF4-FFF2-40B4-BE49-F238E27FC236}">
                  <a16:creationId xmlns:a16="http://schemas.microsoft.com/office/drawing/2014/main" id="{BD110911-3021-4FBA-83EB-BD54427466C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4" spid="_x0000_s437472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1647825" y="1990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333375</xdr:colOff>
          <xdr:row>9</xdr:row>
          <xdr:rowOff>57150</xdr:rowOff>
        </xdr:to>
        <xdr:pic>
          <xdr:nvPicPr>
            <xdr:cNvPr id="30" name="Imagen 29">
              <a:extLst>
                <a:ext uri="{FF2B5EF4-FFF2-40B4-BE49-F238E27FC236}">
                  <a16:creationId xmlns:a16="http://schemas.microsoft.com/office/drawing/2014/main" id="{5C08A983-6CF6-4166-BD39-2E063027BB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33" spid="_x0000_s437473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1647825" y="1609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5</xdr:col>
      <xdr:colOff>800100</xdr:colOff>
      <xdr:row>1</xdr:row>
      <xdr:rowOff>333375</xdr:rowOff>
    </xdr:from>
    <xdr:ext cx="4896000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9860ADD-013B-4DED-ADA8-6933EF8BDD81}"/>
            </a:ext>
          </a:extLst>
        </xdr:cNvPr>
        <xdr:cNvSpPr txBox="1"/>
      </xdr:nvSpPr>
      <xdr:spPr>
        <a:xfrm>
          <a:off x="2447925" y="657225"/>
          <a:ext cx="4896000" cy="264560"/>
        </a:xfrm>
        <a:prstGeom prst="rect">
          <a:avLst/>
        </a:prstGeom>
        <a:solidFill>
          <a:srgbClr val="EDF8C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>
              <a:solidFill>
                <a:srgbClr val="A80004"/>
              </a:solidFill>
            </a:rPr>
            <a:t>Observación:</a:t>
          </a:r>
          <a:r>
            <a:rPr lang="es-ES" sz="1100">
              <a:solidFill>
                <a:srgbClr val="C70006"/>
              </a:solidFill>
            </a:rPr>
            <a:t> </a:t>
          </a:r>
          <a:r>
            <a:rPr lang="es-ES" sz="1100">
              <a:solidFill>
                <a:sysClr val="windowText" lastClr="000000"/>
              </a:solidFill>
            </a:rPr>
            <a:t>Si el partido se define por penales, éstos deben sumarse al resultado.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10</xdr:row>
          <xdr:rowOff>47625</xdr:rowOff>
        </xdr:from>
        <xdr:to>
          <xdr:col>14</xdr:col>
          <xdr:colOff>9525</xdr:colOff>
          <xdr:row>13</xdr:row>
          <xdr:rowOff>66675</xdr:rowOff>
        </xdr:to>
        <xdr:pic>
          <xdr:nvPicPr>
            <xdr:cNvPr id="12" name="Imagen 11">
              <a:extLst>
                <a:ext uri="{FF2B5EF4-FFF2-40B4-BE49-F238E27FC236}">
                  <a16:creationId xmlns:a16="http://schemas.microsoft.com/office/drawing/2014/main" id="{AC596911-BF8D-42AD-AA69-510CC056C75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2" spid="_x0000_s437474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5267325" y="1990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14</xdr:row>
          <xdr:rowOff>47625</xdr:rowOff>
        </xdr:from>
        <xdr:to>
          <xdr:col>14</xdr:col>
          <xdr:colOff>9525</xdr:colOff>
          <xdr:row>17</xdr:row>
          <xdr:rowOff>66675</xdr:rowOff>
        </xdr:to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22F3D232-9D46-4C16-93AB-A918D4784C6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3" spid="_x0000_s437475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5267325" y="2371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18</xdr:row>
          <xdr:rowOff>47625</xdr:rowOff>
        </xdr:from>
        <xdr:to>
          <xdr:col>14</xdr:col>
          <xdr:colOff>9525</xdr:colOff>
          <xdr:row>21</xdr:row>
          <xdr:rowOff>66675</xdr:rowOff>
        </xdr:to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12FA3764-8376-4E8B-AF42-C4EAFC63717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4" spid="_x0000_s437476"/>
                </a:ext>
              </a:extLst>
            </xdr:cNvPicPr>
          </xdr:nvPicPr>
          <xdr:blipFill>
            <a:blip xmlns:r="http://schemas.openxmlformats.org/officeDocument/2006/relationships" r:embed="rId13"/>
            <a:srcRect/>
            <a:stretch>
              <a:fillRect/>
            </a:stretch>
          </xdr:blipFill>
          <xdr:spPr bwMode="auto">
            <a:xfrm>
              <a:off x="5267325" y="2752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22</xdr:row>
          <xdr:rowOff>47625</xdr:rowOff>
        </xdr:from>
        <xdr:to>
          <xdr:col>14</xdr:col>
          <xdr:colOff>9525</xdr:colOff>
          <xdr:row>25</xdr:row>
          <xdr:rowOff>66675</xdr:rowOff>
        </xdr:to>
        <xdr:pic>
          <xdr:nvPicPr>
            <xdr:cNvPr id="15" name="Imagen 14">
              <a:extLst>
                <a:ext uri="{FF2B5EF4-FFF2-40B4-BE49-F238E27FC236}">
                  <a16:creationId xmlns:a16="http://schemas.microsoft.com/office/drawing/2014/main" id="{46B34BB5-300F-4E05-A1AA-847A4CF44D3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5" spid="_x0000_s437477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5267325" y="3133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26</xdr:row>
          <xdr:rowOff>47625</xdr:rowOff>
        </xdr:from>
        <xdr:to>
          <xdr:col>14</xdr:col>
          <xdr:colOff>9525</xdr:colOff>
          <xdr:row>29</xdr:row>
          <xdr:rowOff>57150</xdr:rowOff>
        </xdr:to>
        <xdr:pic>
          <xdr:nvPicPr>
            <xdr:cNvPr id="16" name="Imagen 15">
              <a:extLst>
                <a:ext uri="{FF2B5EF4-FFF2-40B4-BE49-F238E27FC236}">
                  <a16:creationId xmlns:a16="http://schemas.microsoft.com/office/drawing/2014/main" id="{F32791DD-498A-43CE-8591-3358EA301B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6" spid="_x0000_s437478"/>
                </a:ext>
              </a:extLst>
            </xdr:cNvPicPr>
          </xdr:nvPicPr>
          <xdr:blipFill>
            <a:blip xmlns:r="http://schemas.openxmlformats.org/officeDocument/2006/relationships" r:embed="rId15"/>
            <a:srcRect/>
            <a:stretch>
              <a:fillRect/>
            </a:stretch>
          </xdr:blipFill>
          <xdr:spPr bwMode="auto">
            <a:xfrm>
              <a:off x="5267325" y="3514725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34</xdr:row>
          <xdr:rowOff>47625</xdr:rowOff>
        </xdr:from>
        <xdr:to>
          <xdr:col>14</xdr:col>
          <xdr:colOff>9525</xdr:colOff>
          <xdr:row>38</xdr:row>
          <xdr:rowOff>19050</xdr:rowOff>
        </xdr:to>
        <xdr:pic>
          <xdr:nvPicPr>
            <xdr:cNvPr id="18" name="Imagen 17">
              <a:extLst>
                <a:ext uri="{FF2B5EF4-FFF2-40B4-BE49-F238E27FC236}">
                  <a16:creationId xmlns:a16="http://schemas.microsoft.com/office/drawing/2014/main" id="{6E61EFCB-C472-4460-8D3E-B39A0E556B1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8" spid="_x0000_s437479"/>
                </a:ext>
              </a:extLst>
            </xdr:cNvPicPr>
          </xdr:nvPicPr>
          <xdr:blipFill>
            <a:blip xmlns:r="http://schemas.openxmlformats.org/officeDocument/2006/relationships" r:embed="rId16"/>
            <a:srcRect/>
            <a:stretch>
              <a:fillRect/>
            </a:stretch>
          </xdr:blipFill>
          <xdr:spPr bwMode="auto">
            <a:xfrm>
              <a:off x="5267325" y="4286250"/>
              <a:ext cx="3429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11</xdr:col>
      <xdr:colOff>0</xdr:colOff>
      <xdr:row>4</xdr:row>
      <xdr:rowOff>0</xdr:rowOff>
    </xdr:from>
    <xdr:ext cx="2099164" cy="233205"/>
    <xdr:sp macro="" textlink="">
      <xdr:nvSpPr>
        <xdr:cNvPr id="19" name="CuadroTexto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F517751-EA64-49A5-90D1-AD1FA77C375A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oneCellAnchor>
    <xdr:from>
      <xdr:col>5</xdr:col>
      <xdr:colOff>742950</xdr:colOff>
      <xdr:row>0</xdr:row>
      <xdr:rowOff>257175</xdr:rowOff>
    </xdr:from>
    <xdr:ext cx="1896609" cy="405432"/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680761FD-1FCB-4ED0-BAF4-A4DFD23F1CA1}"/>
            </a:ext>
          </a:extLst>
        </xdr:cNvPr>
        <xdr:cNvSpPr txBox="1"/>
      </xdr:nvSpPr>
      <xdr:spPr>
        <a:xfrm>
          <a:off x="2390775" y="257175"/>
          <a:ext cx="189660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Octavos</a:t>
          </a:r>
          <a:r>
            <a:rPr lang="es-UY" sz="2000" b="1" baseline="0">
              <a:solidFill>
                <a:sysClr val="windowText" lastClr="000000"/>
              </a:solidFill>
            </a:rPr>
            <a:t> de final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1</xdr:col>
      <xdr:colOff>0</xdr:colOff>
      <xdr:row>0</xdr:row>
      <xdr:rowOff>95250</xdr:rowOff>
    </xdr:from>
    <xdr:to>
      <xdr:col>5</xdr:col>
      <xdr:colOff>363436</xdr:colOff>
      <xdr:row>3</xdr:row>
      <xdr:rowOff>90276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D17D033C-530B-4E1A-9D4A-387CE9A22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5250"/>
          <a:ext cx="1630261" cy="957051"/>
        </a:xfrm>
        <a:prstGeom prst="rect">
          <a:avLst/>
        </a:prstGeom>
      </xdr:spPr>
    </xdr:pic>
    <xdr:clientData/>
  </xdr:twoCellAnchor>
  <xdr:twoCellAnchor editAs="oneCell">
    <xdr:from>
      <xdr:col>16</xdr:col>
      <xdr:colOff>9525</xdr:colOff>
      <xdr:row>0</xdr:row>
      <xdr:rowOff>66675</xdr:rowOff>
    </xdr:from>
    <xdr:to>
      <xdr:col>18</xdr:col>
      <xdr:colOff>51450</xdr:colOff>
      <xdr:row>1</xdr:row>
      <xdr:rowOff>12072</xdr:rowOff>
    </xdr:to>
    <xdr:pic>
      <xdr:nvPicPr>
        <xdr:cNvPr id="22" name="Imagen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AB827F1-D4BE-48D2-A09C-C3E271432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6</xdr:row>
          <xdr:rowOff>0</xdr:rowOff>
        </xdr:from>
        <xdr:to>
          <xdr:col>14</xdr:col>
          <xdr:colOff>0</xdr:colOff>
          <xdr:row>9</xdr:row>
          <xdr:rowOff>57150</xdr:rowOff>
        </xdr:to>
        <xdr:pic>
          <xdr:nvPicPr>
            <xdr:cNvPr id="12" name="Imagen 11">
              <a:extLst>
                <a:ext uri="{FF2B5EF4-FFF2-40B4-BE49-F238E27FC236}">
                  <a16:creationId xmlns:a16="http://schemas.microsoft.com/office/drawing/2014/main" id="{00000000-0008-0000-0A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3" spid="_x0000_s44856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267325" y="1609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47625</xdr:rowOff>
        </xdr:from>
        <xdr:to>
          <xdr:col>5</xdr:col>
          <xdr:colOff>333375</xdr:colOff>
          <xdr:row>22</xdr:row>
          <xdr:rowOff>9525</xdr:rowOff>
        </xdr:to>
        <xdr:pic>
          <xdr:nvPicPr>
            <xdr:cNvPr id="11" name="Imagen 10">
              <a:extLst>
                <a:ext uri="{FF2B5EF4-FFF2-40B4-BE49-F238E27FC236}">
                  <a16:creationId xmlns:a16="http://schemas.microsoft.com/office/drawing/2014/main" id="{00000000-0008-0000-0A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2" spid="_x0000_s44856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47825" y="2752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5</xdr:col>
          <xdr:colOff>333375</xdr:colOff>
          <xdr:row>17</xdr:row>
          <xdr:rowOff>57150</xdr:rowOff>
        </xdr:to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id="{00000000-0008-0000-0A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1" spid="_x0000_s44857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647825" y="2371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47625</xdr:rowOff>
        </xdr:from>
        <xdr:to>
          <xdr:col>5</xdr:col>
          <xdr:colOff>333375</xdr:colOff>
          <xdr:row>13</xdr:row>
          <xdr:rowOff>57150</xdr:rowOff>
        </xdr:to>
        <xdr:pic>
          <xdr:nvPicPr>
            <xdr:cNvPr id="8" name="Imagen 7">
              <a:extLst>
                <a:ext uri="{FF2B5EF4-FFF2-40B4-BE49-F238E27FC236}">
                  <a16:creationId xmlns:a16="http://schemas.microsoft.com/office/drawing/2014/main" id="{00000000-0008-0000-0A00-00000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0" spid="_x0000_s44857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647825" y="1990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</xdr:row>
          <xdr:rowOff>0</xdr:rowOff>
        </xdr:from>
        <xdr:to>
          <xdr:col>5</xdr:col>
          <xdr:colOff>342900</xdr:colOff>
          <xdr:row>9</xdr:row>
          <xdr:rowOff>57150</xdr:rowOff>
        </xdr:to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id="{00000000-0008-0000-0A00-00000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49" spid="_x0000_s448572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1657350" y="1609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5</xdr:col>
      <xdr:colOff>800100</xdr:colOff>
      <xdr:row>1</xdr:row>
      <xdr:rowOff>333375</xdr:rowOff>
    </xdr:from>
    <xdr:ext cx="4896000" cy="26456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2314575" y="571500"/>
          <a:ext cx="4896000" cy="264560"/>
        </a:xfrm>
        <a:prstGeom prst="rect">
          <a:avLst/>
        </a:prstGeom>
        <a:solidFill>
          <a:srgbClr val="EDF8C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>
              <a:solidFill>
                <a:srgbClr val="A80004"/>
              </a:solidFill>
            </a:rPr>
            <a:t>Observación: </a:t>
          </a:r>
          <a:r>
            <a:rPr lang="es-ES" sz="1100">
              <a:solidFill>
                <a:sysClr val="windowText" lastClr="000000"/>
              </a:solidFill>
            </a:rPr>
            <a:t>Si el partido se define por penales, éstos deben sumarse al resultado.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10</xdr:row>
          <xdr:rowOff>47625</xdr:rowOff>
        </xdr:from>
        <xdr:to>
          <xdr:col>14</xdr:col>
          <xdr:colOff>0</xdr:colOff>
          <xdr:row>13</xdr:row>
          <xdr:rowOff>57150</xdr:rowOff>
        </xdr:to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A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4" spid="_x0000_s448573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5267325" y="1990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14</xdr:row>
          <xdr:rowOff>47625</xdr:rowOff>
        </xdr:from>
        <xdr:to>
          <xdr:col>14</xdr:col>
          <xdr:colOff>0</xdr:colOff>
          <xdr:row>17</xdr:row>
          <xdr:rowOff>57150</xdr:rowOff>
        </xdr:to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00000000-0008-0000-0A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5" spid="_x0000_s448574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5267325" y="2371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1047750</xdr:colOff>
          <xdr:row>18</xdr:row>
          <xdr:rowOff>47625</xdr:rowOff>
        </xdr:from>
        <xdr:to>
          <xdr:col>14</xdr:col>
          <xdr:colOff>0</xdr:colOff>
          <xdr:row>22</xdr:row>
          <xdr:rowOff>9525</xdr:rowOff>
        </xdr:to>
        <xdr:pic>
          <xdr:nvPicPr>
            <xdr:cNvPr id="15" name="Imagen 14">
              <a:extLst>
                <a:ext uri="{FF2B5EF4-FFF2-40B4-BE49-F238E27FC236}">
                  <a16:creationId xmlns:a16="http://schemas.microsoft.com/office/drawing/2014/main" id="{00000000-0008-0000-0A00-00000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6" spid="_x0000_s448575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267325" y="2752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11</xdr:col>
      <xdr:colOff>0</xdr:colOff>
      <xdr:row>4</xdr:row>
      <xdr:rowOff>0</xdr:rowOff>
    </xdr:from>
    <xdr:ext cx="2099164" cy="233205"/>
    <xdr:sp macro="" textlink="">
      <xdr:nvSpPr>
        <xdr:cNvPr id="5" name="CuadroTexto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E786E5-57BC-4F65-88AC-8B43788243CD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oneCellAnchor>
    <xdr:from>
      <xdr:col>5</xdr:col>
      <xdr:colOff>742950</xdr:colOff>
      <xdr:row>0</xdr:row>
      <xdr:rowOff>257175</xdr:rowOff>
    </xdr:from>
    <xdr:ext cx="1858970" cy="405432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6350FAF8-070E-455E-9763-0B62B4E943A4}"/>
            </a:ext>
          </a:extLst>
        </xdr:cNvPr>
        <xdr:cNvSpPr txBox="1"/>
      </xdr:nvSpPr>
      <xdr:spPr>
        <a:xfrm>
          <a:off x="2390775" y="257175"/>
          <a:ext cx="185897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Cuartos de final</a:t>
          </a:r>
        </a:p>
      </xdr:txBody>
    </xdr:sp>
    <xdr:clientData/>
  </xdr:oneCellAnchor>
  <xdr:twoCellAnchor editAs="oneCell">
    <xdr:from>
      <xdr:col>1</xdr:col>
      <xdr:colOff>0</xdr:colOff>
      <xdr:row>0</xdr:row>
      <xdr:rowOff>95250</xdr:rowOff>
    </xdr:from>
    <xdr:to>
      <xdr:col>5</xdr:col>
      <xdr:colOff>363436</xdr:colOff>
      <xdr:row>3</xdr:row>
      <xdr:rowOff>90276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9874F77-4EFB-4894-9E80-2BDE6872F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5250"/>
          <a:ext cx="1630261" cy="957051"/>
        </a:xfrm>
        <a:prstGeom prst="rect">
          <a:avLst/>
        </a:prstGeom>
      </xdr:spPr>
    </xdr:pic>
    <xdr:clientData/>
  </xdr:twoCellAnchor>
  <xdr:twoCellAnchor editAs="oneCell">
    <xdr:from>
      <xdr:col>16</xdr:col>
      <xdr:colOff>9525</xdr:colOff>
      <xdr:row>0</xdr:row>
      <xdr:rowOff>66675</xdr:rowOff>
    </xdr:from>
    <xdr:to>
      <xdr:col>18</xdr:col>
      <xdr:colOff>51450</xdr:colOff>
      <xdr:row>1</xdr:row>
      <xdr:rowOff>12072</xdr:rowOff>
    </xdr:to>
    <xdr:pic>
      <xdr:nvPicPr>
        <xdr:cNvPr id="2" name="Imagen 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C40C58F-B794-4943-9B18-73EF3AF7A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1057275</xdr:colOff>
          <xdr:row>10</xdr:row>
          <xdr:rowOff>47625</xdr:rowOff>
        </xdr:from>
        <xdr:to>
          <xdr:col>14</xdr:col>
          <xdr:colOff>9525</xdr:colOff>
          <xdr:row>14</xdr:row>
          <xdr:rowOff>9525</xdr:rowOff>
        </xdr:to>
        <xdr:pic>
          <xdr:nvPicPr>
            <xdr:cNvPr id="10" name="Imagen 9">
              <a:extLst>
                <a:ext uri="{FF2B5EF4-FFF2-40B4-BE49-F238E27FC236}">
                  <a16:creationId xmlns:a16="http://schemas.microsoft.com/office/drawing/2014/main" id="{00000000-0008-0000-0B00-00000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60" spid="_x0000_s4495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276850" y="1990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333375</xdr:colOff>
          <xdr:row>9</xdr:row>
          <xdr:rowOff>57150</xdr:rowOff>
        </xdr:to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id="{00000000-0008-0000-0B00-00000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7" spid="_x0000_s44956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47825" y="1609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5</xdr:col>
      <xdr:colOff>800100</xdr:colOff>
      <xdr:row>1</xdr:row>
      <xdr:rowOff>333375</xdr:rowOff>
    </xdr:from>
    <xdr:ext cx="4896000" cy="26456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2314575" y="571500"/>
          <a:ext cx="4896000" cy="264560"/>
        </a:xfrm>
        <a:prstGeom prst="rect">
          <a:avLst/>
        </a:prstGeom>
        <a:solidFill>
          <a:srgbClr val="EDF8C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>
              <a:solidFill>
                <a:srgbClr val="A80004"/>
              </a:solidFill>
            </a:rPr>
            <a:t>Observación: </a:t>
          </a:r>
          <a:r>
            <a:rPr lang="es-ES" sz="1100">
              <a:solidFill>
                <a:sysClr val="windowText" lastClr="000000"/>
              </a:solidFill>
            </a:rPr>
            <a:t>Si el partido se define por penales, éstos deben sumarse al resultado.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47625</xdr:rowOff>
        </xdr:from>
        <xdr:to>
          <xdr:col>5</xdr:col>
          <xdr:colOff>333375</xdr:colOff>
          <xdr:row>14</xdr:row>
          <xdr:rowOff>9525</xdr:rowOff>
        </xdr:to>
        <xdr:pic>
          <xdr:nvPicPr>
            <xdr:cNvPr id="8" name="Imagen 7">
              <a:extLst>
                <a:ext uri="{FF2B5EF4-FFF2-40B4-BE49-F238E27FC236}">
                  <a16:creationId xmlns:a16="http://schemas.microsoft.com/office/drawing/2014/main" id="{00000000-0008-0000-0B00-00000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8" spid="_x0000_s44956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647825" y="1990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1057275</xdr:colOff>
          <xdr:row>6</xdr:row>
          <xdr:rowOff>0</xdr:rowOff>
        </xdr:from>
        <xdr:to>
          <xdr:col>14</xdr:col>
          <xdr:colOff>9525</xdr:colOff>
          <xdr:row>9</xdr:row>
          <xdr:rowOff>57150</xdr:rowOff>
        </xdr:to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id="{00000000-0008-0000-0B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59" spid="_x0000_s44956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5276850" y="1609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11</xdr:col>
      <xdr:colOff>0</xdr:colOff>
      <xdr:row>4</xdr:row>
      <xdr:rowOff>0</xdr:rowOff>
    </xdr:from>
    <xdr:ext cx="2099164" cy="233205"/>
    <xdr:sp macro="" textlink="">
      <xdr:nvSpPr>
        <xdr:cNvPr id="4" name="CuadroTexto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F9199B-1753-4FC4-8AAC-8FA7C419AF66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oneCellAnchor>
    <xdr:from>
      <xdr:col>5</xdr:col>
      <xdr:colOff>742950</xdr:colOff>
      <xdr:row>0</xdr:row>
      <xdr:rowOff>266700</xdr:rowOff>
    </xdr:from>
    <xdr:ext cx="1409488" cy="405432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ADE7AF70-9FED-41EC-861A-38A2D63EA5CD}"/>
            </a:ext>
          </a:extLst>
        </xdr:cNvPr>
        <xdr:cNvSpPr txBox="1"/>
      </xdr:nvSpPr>
      <xdr:spPr>
        <a:xfrm>
          <a:off x="2390775" y="266700"/>
          <a:ext cx="140948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Semifinales</a:t>
          </a:r>
        </a:p>
      </xdr:txBody>
    </xdr:sp>
    <xdr:clientData/>
  </xdr:oneCellAnchor>
  <xdr:twoCellAnchor editAs="oneCell">
    <xdr:from>
      <xdr:col>1</xdr:col>
      <xdr:colOff>0</xdr:colOff>
      <xdr:row>0</xdr:row>
      <xdr:rowOff>95250</xdr:rowOff>
    </xdr:from>
    <xdr:to>
      <xdr:col>5</xdr:col>
      <xdr:colOff>363436</xdr:colOff>
      <xdr:row>3</xdr:row>
      <xdr:rowOff>90276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75DC807-D223-4196-AF35-2127A114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5250"/>
          <a:ext cx="1630261" cy="957051"/>
        </a:xfrm>
        <a:prstGeom prst="rect">
          <a:avLst/>
        </a:prstGeom>
      </xdr:spPr>
    </xdr:pic>
    <xdr:clientData/>
  </xdr:twoCellAnchor>
  <xdr:twoCellAnchor editAs="oneCell">
    <xdr:from>
      <xdr:col>16</xdr:col>
      <xdr:colOff>9525</xdr:colOff>
      <xdr:row>0</xdr:row>
      <xdr:rowOff>66675</xdr:rowOff>
    </xdr:from>
    <xdr:to>
      <xdr:col>20</xdr:col>
      <xdr:colOff>47625</xdr:colOff>
      <xdr:row>1</xdr:row>
      <xdr:rowOff>12072</xdr:rowOff>
    </xdr:to>
    <xdr:pic>
      <xdr:nvPicPr>
        <xdr:cNvPr id="2" name="Imagen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802F08-B6A9-4A0E-96F1-E8BDDE5E1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66675"/>
          <a:ext cx="1400175" cy="26924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333375</xdr:colOff>
          <xdr:row>17</xdr:row>
          <xdr:rowOff>9525</xdr:rowOff>
        </xdr:to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id="{00000000-0008-0000-0C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62" spid="_x0000_s40477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47825" y="231457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333375</xdr:colOff>
          <xdr:row>10</xdr:row>
          <xdr:rowOff>9525</xdr:rowOff>
        </xdr:to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id="{00000000-0008-0000-0C00-00000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61" spid="_x0000_s4047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47825" y="1609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1057275</xdr:colOff>
          <xdr:row>6</xdr:row>
          <xdr:rowOff>0</xdr:rowOff>
        </xdr:from>
        <xdr:to>
          <xdr:col>14</xdr:col>
          <xdr:colOff>9525</xdr:colOff>
          <xdr:row>10</xdr:row>
          <xdr:rowOff>9525</xdr:rowOff>
        </xdr:to>
        <xdr:pic>
          <xdr:nvPicPr>
            <xdr:cNvPr id="12" name="Imagen 11">
              <a:extLst>
                <a:ext uri="{FF2B5EF4-FFF2-40B4-BE49-F238E27FC236}">
                  <a16:creationId xmlns:a16="http://schemas.microsoft.com/office/drawing/2014/main" id="{00000000-0008-0000-0C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63" spid="_x0000_s40478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276850" y="16097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1057275</xdr:colOff>
          <xdr:row>13</xdr:row>
          <xdr:rowOff>0</xdr:rowOff>
        </xdr:from>
        <xdr:to>
          <xdr:col>14</xdr:col>
          <xdr:colOff>9525</xdr:colOff>
          <xdr:row>17</xdr:row>
          <xdr:rowOff>9525</xdr:rowOff>
        </xdr:to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C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64" spid="_x0000_s40478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5276850" y="231457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5</xdr:col>
      <xdr:colOff>800101</xdr:colOff>
      <xdr:row>1</xdr:row>
      <xdr:rowOff>333375</xdr:rowOff>
    </xdr:from>
    <xdr:ext cx="4895850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2314576" y="571500"/>
          <a:ext cx="4895850" cy="264560"/>
        </a:xfrm>
        <a:prstGeom prst="rect">
          <a:avLst/>
        </a:prstGeom>
        <a:solidFill>
          <a:srgbClr val="EDF8C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100">
              <a:solidFill>
                <a:srgbClr val="A80004"/>
              </a:solidFill>
            </a:rPr>
            <a:t>Observación:</a:t>
          </a:r>
          <a:r>
            <a:rPr lang="es-ES" sz="1100">
              <a:solidFill>
                <a:srgbClr val="C70006"/>
              </a:solidFill>
            </a:rPr>
            <a:t> </a:t>
          </a:r>
          <a:r>
            <a:rPr lang="es-ES" sz="1100">
              <a:solidFill>
                <a:sysClr val="windowText" lastClr="000000"/>
              </a:solidFill>
            </a:rPr>
            <a:t>Si el partido se define por penales, éstos deben sumarse al resultado.</a:t>
          </a:r>
        </a:p>
      </xdr:txBody>
    </xdr:sp>
    <xdr:clientData/>
  </xdr:oneCellAnchor>
  <xdr:oneCellAnchor>
    <xdr:from>
      <xdr:col>11</xdr:col>
      <xdr:colOff>0</xdr:colOff>
      <xdr:row>4</xdr:row>
      <xdr:rowOff>0</xdr:rowOff>
    </xdr:from>
    <xdr:ext cx="2099164" cy="233205"/>
    <xdr:sp macro="" textlink="">
      <xdr:nvSpPr>
        <xdr:cNvPr id="2" name="CuadroTexto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031FD8-6BD5-4D4F-9ED5-7805A38F1CD0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oneCellAnchor>
    <xdr:from>
      <xdr:col>5</xdr:col>
      <xdr:colOff>714375</xdr:colOff>
      <xdr:row>0</xdr:row>
      <xdr:rowOff>276225</xdr:rowOff>
    </xdr:from>
    <xdr:ext cx="3049809" cy="405432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3CFF410-8C16-41C7-8BBA-8BE665131C13}"/>
            </a:ext>
          </a:extLst>
        </xdr:cNvPr>
        <xdr:cNvSpPr txBox="1"/>
      </xdr:nvSpPr>
      <xdr:spPr>
        <a:xfrm>
          <a:off x="2362200" y="276225"/>
          <a:ext cx="304980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Definición</a:t>
          </a:r>
          <a:r>
            <a:rPr lang="es-UY" sz="2000" b="1" baseline="0">
              <a:solidFill>
                <a:sysClr val="windowText" lastClr="000000"/>
              </a:solidFill>
            </a:rPr>
            <a:t> del campeonato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1</xdr:col>
      <xdr:colOff>0</xdr:colOff>
      <xdr:row>0</xdr:row>
      <xdr:rowOff>95250</xdr:rowOff>
    </xdr:from>
    <xdr:to>
      <xdr:col>5</xdr:col>
      <xdr:colOff>363436</xdr:colOff>
      <xdr:row>3</xdr:row>
      <xdr:rowOff>90276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70837E5-2FCB-4CAF-85F0-4CC696C02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5250"/>
          <a:ext cx="1630261" cy="957051"/>
        </a:xfrm>
        <a:prstGeom prst="rect">
          <a:avLst/>
        </a:prstGeom>
      </xdr:spPr>
    </xdr:pic>
    <xdr:clientData/>
  </xdr:twoCellAnchor>
  <xdr:twoCellAnchor editAs="oneCell">
    <xdr:from>
      <xdr:col>19</xdr:col>
      <xdr:colOff>152400</xdr:colOff>
      <xdr:row>0</xdr:row>
      <xdr:rowOff>66675</xdr:rowOff>
    </xdr:from>
    <xdr:to>
      <xdr:col>20</xdr:col>
      <xdr:colOff>32400</xdr:colOff>
      <xdr:row>1</xdr:row>
      <xdr:rowOff>12072</xdr:rowOff>
    </xdr:to>
    <xdr:pic>
      <xdr:nvPicPr>
        <xdr:cNvPr id="3" name="Imagen 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2BB9CB-02F1-4BD3-9888-442BE58DE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66675"/>
          <a:ext cx="1404000" cy="26924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57150</xdr:rowOff>
        </xdr:from>
        <xdr:to>
          <xdr:col>5</xdr:col>
          <xdr:colOff>333375</xdr:colOff>
          <xdr:row>23</xdr:row>
          <xdr:rowOff>161925</xdr:rowOff>
        </xdr:to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DB94886C-65B9-4FF4-8443-1B81CE4889D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65" spid="_x0000_s404783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1647825" y="31718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1057275</xdr:colOff>
          <xdr:row>22</xdr:row>
          <xdr:rowOff>57150</xdr:rowOff>
        </xdr:from>
        <xdr:to>
          <xdr:col>14</xdr:col>
          <xdr:colOff>9525</xdr:colOff>
          <xdr:row>23</xdr:row>
          <xdr:rowOff>161925</xdr:rowOff>
        </xdr:to>
        <xdr:pic>
          <xdr:nvPicPr>
            <xdr:cNvPr id="10" name="Imagen 9">
              <a:extLst>
                <a:ext uri="{FF2B5EF4-FFF2-40B4-BE49-F238E27FC236}">
                  <a16:creationId xmlns:a16="http://schemas.microsoft.com/office/drawing/2014/main" id="{39A9DB52-A92D-4A97-9086-A71448E53AA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lag65" spid="_x0000_s404784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5276850" y="3171825"/>
              <a:ext cx="333375" cy="29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7</xdr:row>
      <xdr:rowOff>209550</xdr:rowOff>
    </xdr:from>
    <xdr:ext cx="406349" cy="406349"/>
    <xdr:pic>
      <xdr:nvPicPr>
        <xdr:cNvPr id="2" name="Imagen 1">
          <a:extLst>
            <a:ext uri="{FF2B5EF4-FFF2-40B4-BE49-F238E27FC236}">
              <a16:creationId xmlns:a16="http://schemas.microsoft.com/office/drawing/2014/main" id="{38E772D7-3787-4075-A37F-B0CBFF03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211455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7</xdr:row>
      <xdr:rowOff>219075</xdr:rowOff>
    </xdr:from>
    <xdr:ext cx="406349" cy="406349"/>
    <xdr:pic>
      <xdr:nvPicPr>
        <xdr:cNvPr id="3" name="Imagen 2">
          <a:extLst>
            <a:ext uri="{FF2B5EF4-FFF2-40B4-BE49-F238E27FC236}">
              <a16:creationId xmlns:a16="http://schemas.microsoft.com/office/drawing/2014/main" id="{E7929867-26C4-4E85-95D2-29037F5A1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20669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13</xdr:row>
      <xdr:rowOff>219075</xdr:rowOff>
    </xdr:from>
    <xdr:ext cx="406349" cy="406349"/>
    <xdr:pic>
      <xdr:nvPicPr>
        <xdr:cNvPr id="4" name="Imagen 3">
          <a:extLst>
            <a:ext uri="{FF2B5EF4-FFF2-40B4-BE49-F238E27FC236}">
              <a16:creationId xmlns:a16="http://schemas.microsoft.com/office/drawing/2014/main" id="{23BA8DEA-35D3-4345-B0DD-945118899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9813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19</xdr:row>
      <xdr:rowOff>219075</xdr:rowOff>
    </xdr:from>
    <xdr:ext cx="406349" cy="406349"/>
    <xdr:pic>
      <xdr:nvPicPr>
        <xdr:cNvPr id="5" name="Imagen 4">
          <a:extLst>
            <a:ext uri="{FF2B5EF4-FFF2-40B4-BE49-F238E27FC236}">
              <a16:creationId xmlns:a16="http://schemas.microsoft.com/office/drawing/2014/main" id="{07CC4631-A0E6-4983-A186-54DFDB38B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3719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25</xdr:row>
      <xdr:rowOff>257175</xdr:rowOff>
    </xdr:from>
    <xdr:ext cx="406349" cy="406349"/>
    <xdr:pic>
      <xdr:nvPicPr>
        <xdr:cNvPr id="6" name="Imagen 5">
          <a:extLst>
            <a:ext uri="{FF2B5EF4-FFF2-40B4-BE49-F238E27FC236}">
              <a16:creationId xmlns:a16="http://schemas.microsoft.com/office/drawing/2014/main" id="{E65FD169-0501-4FBE-844D-C0C1103E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5876925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25</xdr:row>
      <xdr:rowOff>219075</xdr:rowOff>
    </xdr:from>
    <xdr:ext cx="406349" cy="406349"/>
    <xdr:pic>
      <xdr:nvPicPr>
        <xdr:cNvPr id="7" name="Imagen 6">
          <a:extLst>
            <a:ext uri="{FF2B5EF4-FFF2-40B4-BE49-F238E27FC236}">
              <a16:creationId xmlns:a16="http://schemas.microsoft.com/office/drawing/2014/main" id="{4C77C7CE-6169-4725-A260-B1292424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53340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31</xdr:row>
      <xdr:rowOff>209550</xdr:rowOff>
    </xdr:from>
    <xdr:ext cx="406349" cy="406349"/>
    <xdr:pic>
      <xdr:nvPicPr>
        <xdr:cNvPr id="8" name="Imagen 7">
          <a:extLst>
            <a:ext uri="{FF2B5EF4-FFF2-40B4-BE49-F238E27FC236}">
              <a16:creationId xmlns:a16="http://schemas.microsoft.com/office/drawing/2014/main" id="{27F68A67-DD24-46B2-9C85-DC50DF949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663212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31</xdr:row>
      <xdr:rowOff>209550</xdr:rowOff>
    </xdr:from>
    <xdr:ext cx="406349" cy="406349"/>
    <xdr:pic>
      <xdr:nvPicPr>
        <xdr:cNvPr id="9" name="Imagen 8">
          <a:extLst>
            <a:ext uri="{FF2B5EF4-FFF2-40B4-BE49-F238E27FC236}">
              <a16:creationId xmlns:a16="http://schemas.microsoft.com/office/drawing/2014/main" id="{493BAF19-35FB-4FD3-9842-A25072A82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67056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37</xdr:row>
      <xdr:rowOff>219075</xdr:rowOff>
    </xdr:from>
    <xdr:ext cx="406349" cy="406349"/>
    <xdr:pic>
      <xdr:nvPicPr>
        <xdr:cNvPr id="10" name="Imagen 9">
          <a:extLst>
            <a:ext uri="{FF2B5EF4-FFF2-40B4-BE49-F238E27FC236}">
              <a16:creationId xmlns:a16="http://schemas.microsoft.com/office/drawing/2014/main" id="{D12B47A0-57E9-46A0-AEAF-D678E1217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7539718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37</xdr:row>
      <xdr:rowOff>209550</xdr:rowOff>
    </xdr:from>
    <xdr:ext cx="406349" cy="406349"/>
    <xdr:pic>
      <xdr:nvPicPr>
        <xdr:cNvPr id="11" name="Imagen 10">
          <a:extLst>
            <a:ext uri="{FF2B5EF4-FFF2-40B4-BE49-F238E27FC236}">
              <a16:creationId xmlns:a16="http://schemas.microsoft.com/office/drawing/2014/main" id="{5636F4BB-2F97-4353-B3FE-55379036C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76200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43</xdr:row>
      <xdr:rowOff>219075</xdr:rowOff>
    </xdr:from>
    <xdr:ext cx="406800" cy="406800"/>
    <xdr:pic>
      <xdr:nvPicPr>
        <xdr:cNvPr id="12" name="Imagen 11">
          <a:extLst>
            <a:ext uri="{FF2B5EF4-FFF2-40B4-BE49-F238E27FC236}">
              <a16:creationId xmlns:a16="http://schemas.microsoft.com/office/drawing/2014/main" id="{6D7AD20A-1017-411C-BFF8-5AF6968A1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8437789"/>
          <a:ext cx="406800" cy="406800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43</xdr:row>
      <xdr:rowOff>219075</xdr:rowOff>
    </xdr:from>
    <xdr:ext cx="406349" cy="406349"/>
    <xdr:pic>
      <xdr:nvPicPr>
        <xdr:cNvPr id="13" name="Imagen 12">
          <a:extLst>
            <a:ext uri="{FF2B5EF4-FFF2-40B4-BE49-F238E27FC236}">
              <a16:creationId xmlns:a16="http://schemas.microsoft.com/office/drawing/2014/main" id="{417A2ED5-1158-4513-9046-53356992E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85439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49</xdr:row>
      <xdr:rowOff>219075</xdr:rowOff>
    </xdr:from>
    <xdr:ext cx="406349" cy="406349"/>
    <xdr:pic>
      <xdr:nvPicPr>
        <xdr:cNvPr id="14" name="Imagen 13">
          <a:extLst>
            <a:ext uri="{FF2B5EF4-FFF2-40B4-BE49-F238E27FC236}">
              <a16:creationId xmlns:a16="http://schemas.microsoft.com/office/drawing/2014/main" id="{22E0B58D-52AB-4D5E-8039-06DAE30DB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98964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55</xdr:row>
      <xdr:rowOff>219075</xdr:rowOff>
    </xdr:from>
    <xdr:ext cx="406349" cy="406349"/>
    <xdr:pic>
      <xdr:nvPicPr>
        <xdr:cNvPr id="15" name="Imagen 14">
          <a:extLst>
            <a:ext uri="{FF2B5EF4-FFF2-40B4-BE49-F238E27FC236}">
              <a16:creationId xmlns:a16="http://schemas.microsoft.com/office/drawing/2014/main" id="{6947163C-A99C-44F9-98C7-955088290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10696575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1266374</xdr:colOff>
      <xdr:row>55</xdr:row>
      <xdr:rowOff>219075</xdr:rowOff>
    </xdr:from>
    <xdr:ext cx="406800" cy="406800"/>
    <xdr:pic>
      <xdr:nvPicPr>
        <xdr:cNvPr id="16" name="Imagen 15">
          <a:extLst>
            <a:ext uri="{FF2B5EF4-FFF2-40B4-BE49-F238E27FC236}">
              <a16:creationId xmlns:a16="http://schemas.microsoft.com/office/drawing/2014/main" id="{66F88461-03D8-43A2-9707-54EE489E6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049" y="10839450"/>
          <a:ext cx="406800" cy="406800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61</xdr:row>
      <xdr:rowOff>180975</xdr:rowOff>
    </xdr:from>
    <xdr:ext cx="406349" cy="406349"/>
    <xdr:pic>
      <xdr:nvPicPr>
        <xdr:cNvPr id="17" name="Imagen 16">
          <a:extLst>
            <a:ext uri="{FF2B5EF4-FFF2-40B4-BE49-F238E27FC236}">
              <a16:creationId xmlns:a16="http://schemas.microsoft.com/office/drawing/2014/main" id="{490BE357-D557-4EC5-A14B-CF6D60EB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11556546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61</xdr:row>
      <xdr:rowOff>180975</xdr:rowOff>
    </xdr:from>
    <xdr:ext cx="406349" cy="406349"/>
    <xdr:pic>
      <xdr:nvPicPr>
        <xdr:cNvPr id="18" name="Imagen 17">
          <a:extLst>
            <a:ext uri="{FF2B5EF4-FFF2-40B4-BE49-F238E27FC236}">
              <a16:creationId xmlns:a16="http://schemas.microsoft.com/office/drawing/2014/main" id="{DF14E800-DD71-40D1-9D14-53F0FB89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17157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67</xdr:row>
      <xdr:rowOff>180975</xdr:rowOff>
    </xdr:from>
    <xdr:ext cx="406349" cy="406349"/>
    <xdr:pic>
      <xdr:nvPicPr>
        <xdr:cNvPr id="19" name="Imagen 18">
          <a:extLst>
            <a:ext uri="{FF2B5EF4-FFF2-40B4-BE49-F238E27FC236}">
              <a16:creationId xmlns:a16="http://schemas.microsoft.com/office/drawing/2014/main" id="{7792EBA7-2D96-45CF-A6D7-EB952BAF1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1242740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67</xdr:row>
      <xdr:rowOff>180975</xdr:rowOff>
    </xdr:from>
    <xdr:ext cx="406349" cy="406349"/>
    <xdr:pic>
      <xdr:nvPicPr>
        <xdr:cNvPr id="20" name="Imagen 19">
          <a:extLst>
            <a:ext uri="{FF2B5EF4-FFF2-40B4-BE49-F238E27FC236}">
              <a16:creationId xmlns:a16="http://schemas.microsoft.com/office/drawing/2014/main" id="{843C9E60-E038-4F38-A12D-25AF93E9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259205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73</xdr:row>
      <xdr:rowOff>180975</xdr:rowOff>
    </xdr:from>
    <xdr:ext cx="406349" cy="406349"/>
    <xdr:pic>
      <xdr:nvPicPr>
        <xdr:cNvPr id="21" name="Imagen 20">
          <a:extLst>
            <a:ext uri="{FF2B5EF4-FFF2-40B4-BE49-F238E27FC236}">
              <a16:creationId xmlns:a16="http://schemas.microsoft.com/office/drawing/2014/main" id="{3FA2DB11-23C5-47D0-8A7A-D1C626CE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34397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79</xdr:row>
      <xdr:rowOff>219075</xdr:rowOff>
    </xdr:from>
    <xdr:ext cx="406349" cy="406349"/>
    <xdr:pic>
      <xdr:nvPicPr>
        <xdr:cNvPr id="22" name="Imagen 21">
          <a:extLst>
            <a:ext uri="{FF2B5EF4-FFF2-40B4-BE49-F238E27FC236}">
              <a16:creationId xmlns:a16="http://schemas.microsoft.com/office/drawing/2014/main" id="{BAB79605-656F-4E84-9D30-D797DE569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14615432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79</xdr:row>
      <xdr:rowOff>219075</xdr:rowOff>
    </xdr:from>
    <xdr:ext cx="406349" cy="406349"/>
    <xdr:pic>
      <xdr:nvPicPr>
        <xdr:cNvPr id="23" name="Imagen 22">
          <a:extLst>
            <a:ext uri="{FF2B5EF4-FFF2-40B4-BE49-F238E27FC236}">
              <a16:creationId xmlns:a16="http://schemas.microsoft.com/office/drawing/2014/main" id="{5FCA1875-E396-4D78-A671-185D9B270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148018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85</xdr:row>
      <xdr:rowOff>219075</xdr:rowOff>
    </xdr:from>
    <xdr:ext cx="406349" cy="406349"/>
    <xdr:pic>
      <xdr:nvPicPr>
        <xdr:cNvPr id="24" name="Imagen 23">
          <a:extLst>
            <a:ext uri="{FF2B5EF4-FFF2-40B4-BE49-F238E27FC236}">
              <a16:creationId xmlns:a16="http://schemas.microsoft.com/office/drawing/2014/main" id="{62B241FC-8763-448E-97FC-E1C7676C5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1551350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85</xdr:row>
      <xdr:rowOff>219075</xdr:rowOff>
    </xdr:from>
    <xdr:ext cx="406349" cy="406349"/>
    <xdr:pic>
      <xdr:nvPicPr>
        <xdr:cNvPr id="25" name="Imagen 24">
          <a:extLst>
            <a:ext uri="{FF2B5EF4-FFF2-40B4-BE49-F238E27FC236}">
              <a16:creationId xmlns:a16="http://schemas.microsoft.com/office/drawing/2014/main" id="{E9DEF923-5B94-4588-B3A5-02B0054D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157162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91</xdr:row>
      <xdr:rowOff>219075</xdr:rowOff>
    </xdr:from>
    <xdr:ext cx="406349" cy="406349"/>
    <xdr:pic>
      <xdr:nvPicPr>
        <xdr:cNvPr id="26" name="Imagen 25">
          <a:extLst>
            <a:ext uri="{FF2B5EF4-FFF2-40B4-BE49-F238E27FC236}">
              <a16:creationId xmlns:a16="http://schemas.microsoft.com/office/drawing/2014/main" id="{FAD25ABA-D184-4479-B979-4167FC5A5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16411575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91</xdr:row>
      <xdr:rowOff>219075</xdr:rowOff>
    </xdr:from>
    <xdr:ext cx="406349" cy="406349"/>
    <xdr:pic>
      <xdr:nvPicPr>
        <xdr:cNvPr id="27" name="Imagen 26">
          <a:extLst>
            <a:ext uri="{FF2B5EF4-FFF2-40B4-BE49-F238E27FC236}">
              <a16:creationId xmlns:a16="http://schemas.microsoft.com/office/drawing/2014/main" id="{2B754B6C-D0C0-4E7D-9505-0AB6D2C1D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166306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97</xdr:row>
      <xdr:rowOff>219075</xdr:rowOff>
    </xdr:from>
    <xdr:ext cx="406349" cy="406349"/>
    <xdr:pic>
      <xdr:nvPicPr>
        <xdr:cNvPr id="28" name="Imagen 27">
          <a:extLst>
            <a:ext uri="{FF2B5EF4-FFF2-40B4-BE49-F238E27FC236}">
              <a16:creationId xmlns:a16="http://schemas.microsoft.com/office/drawing/2014/main" id="{FED711EC-66D9-4473-A028-A51C3515F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17309646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97</xdr:row>
      <xdr:rowOff>219075</xdr:rowOff>
    </xdr:from>
    <xdr:ext cx="406349" cy="406349"/>
    <xdr:pic>
      <xdr:nvPicPr>
        <xdr:cNvPr id="29" name="Imagen 28">
          <a:extLst>
            <a:ext uri="{FF2B5EF4-FFF2-40B4-BE49-F238E27FC236}">
              <a16:creationId xmlns:a16="http://schemas.microsoft.com/office/drawing/2014/main" id="{635025E9-E18C-41D5-B3B9-86301E2E3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175450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103</xdr:row>
      <xdr:rowOff>219075</xdr:rowOff>
    </xdr:from>
    <xdr:ext cx="406349" cy="406349"/>
    <xdr:pic>
      <xdr:nvPicPr>
        <xdr:cNvPr id="30" name="Imagen 29">
          <a:extLst>
            <a:ext uri="{FF2B5EF4-FFF2-40B4-BE49-F238E27FC236}">
              <a16:creationId xmlns:a16="http://schemas.microsoft.com/office/drawing/2014/main" id="{F4DF9AEB-C254-42CF-898F-8F122169D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1867036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103</xdr:row>
      <xdr:rowOff>219075</xdr:rowOff>
    </xdr:from>
    <xdr:ext cx="406349" cy="406349"/>
    <xdr:pic>
      <xdr:nvPicPr>
        <xdr:cNvPr id="31" name="Imagen 30">
          <a:extLst>
            <a:ext uri="{FF2B5EF4-FFF2-40B4-BE49-F238E27FC236}">
              <a16:creationId xmlns:a16="http://schemas.microsoft.com/office/drawing/2014/main" id="{4E9F99D0-D1BC-4F37-9493-A3DCF68DB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18926175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109</xdr:row>
      <xdr:rowOff>219075</xdr:rowOff>
    </xdr:from>
    <xdr:ext cx="406349" cy="406349"/>
    <xdr:pic>
      <xdr:nvPicPr>
        <xdr:cNvPr id="32" name="Imagen 31">
          <a:extLst>
            <a:ext uri="{FF2B5EF4-FFF2-40B4-BE49-F238E27FC236}">
              <a16:creationId xmlns:a16="http://schemas.microsoft.com/office/drawing/2014/main" id="{AE0F92FD-42AF-4EA4-AE07-220E696C4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198215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115</xdr:row>
      <xdr:rowOff>209550</xdr:rowOff>
    </xdr:from>
    <xdr:ext cx="406349" cy="406349"/>
    <xdr:pic>
      <xdr:nvPicPr>
        <xdr:cNvPr id="33" name="Imagen 32">
          <a:extLst>
            <a:ext uri="{FF2B5EF4-FFF2-40B4-BE49-F238E27FC236}">
              <a16:creationId xmlns:a16="http://schemas.microsoft.com/office/drawing/2014/main" id="{C235F6C8-C67D-478D-9E5F-820FDACFD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20456979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115</xdr:row>
      <xdr:rowOff>209550</xdr:rowOff>
    </xdr:from>
    <xdr:ext cx="406349" cy="406349"/>
    <xdr:pic>
      <xdr:nvPicPr>
        <xdr:cNvPr id="34" name="Imagen 33">
          <a:extLst>
            <a:ext uri="{FF2B5EF4-FFF2-40B4-BE49-F238E27FC236}">
              <a16:creationId xmlns:a16="http://schemas.microsoft.com/office/drawing/2014/main" id="{50141891-6ED8-4AD6-9CAF-650E33189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207454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121</xdr:row>
      <xdr:rowOff>209550</xdr:rowOff>
    </xdr:from>
    <xdr:ext cx="406349" cy="406349"/>
    <xdr:pic>
      <xdr:nvPicPr>
        <xdr:cNvPr id="35" name="Imagen 34">
          <a:extLst>
            <a:ext uri="{FF2B5EF4-FFF2-40B4-BE49-F238E27FC236}">
              <a16:creationId xmlns:a16="http://schemas.microsoft.com/office/drawing/2014/main" id="{069862A2-DF55-42E6-B068-2EDB2F677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2211705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121</xdr:row>
      <xdr:rowOff>209550</xdr:rowOff>
    </xdr:from>
    <xdr:ext cx="406349" cy="406349"/>
    <xdr:pic>
      <xdr:nvPicPr>
        <xdr:cNvPr id="36" name="Imagen 35">
          <a:extLst>
            <a:ext uri="{FF2B5EF4-FFF2-40B4-BE49-F238E27FC236}">
              <a16:creationId xmlns:a16="http://schemas.microsoft.com/office/drawing/2014/main" id="{C280F39E-1AA6-407E-8FB3-E77834AA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221170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127</xdr:row>
      <xdr:rowOff>209550</xdr:rowOff>
    </xdr:from>
    <xdr:ext cx="406349" cy="406349"/>
    <xdr:pic>
      <xdr:nvPicPr>
        <xdr:cNvPr id="37" name="Imagen 36">
          <a:extLst>
            <a:ext uri="{FF2B5EF4-FFF2-40B4-BE49-F238E27FC236}">
              <a16:creationId xmlns:a16="http://schemas.microsoft.com/office/drawing/2014/main" id="{EF847E1C-D989-4F59-BFAC-66CA0BC16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230314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133</xdr:row>
      <xdr:rowOff>209550</xdr:rowOff>
    </xdr:from>
    <xdr:ext cx="406349" cy="406349"/>
    <xdr:pic>
      <xdr:nvPicPr>
        <xdr:cNvPr id="38" name="Imagen 37">
          <a:extLst>
            <a:ext uri="{FF2B5EF4-FFF2-40B4-BE49-F238E27FC236}">
              <a16:creationId xmlns:a16="http://schemas.microsoft.com/office/drawing/2014/main" id="{C5A276E9-DFF0-4568-BCC0-DA74AC3B6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23559407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133</xdr:row>
      <xdr:rowOff>209550</xdr:rowOff>
    </xdr:from>
    <xdr:ext cx="406349" cy="406349"/>
    <xdr:pic>
      <xdr:nvPicPr>
        <xdr:cNvPr id="39" name="Imagen 38">
          <a:extLst>
            <a:ext uri="{FF2B5EF4-FFF2-40B4-BE49-F238E27FC236}">
              <a16:creationId xmlns:a16="http://schemas.microsoft.com/office/drawing/2014/main" id="{45065257-A81F-4657-8BC6-96FDCA934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238982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139</xdr:row>
      <xdr:rowOff>219075</xdr:rowOff>
    </xdr:from>
    <xdr:ext cx="406349" cy="406349"/>
    <xdr:pic>
      <xdr:nvPicPr>
        <xdr:cNvPr id="40" name="Imagen 39">
          <a:extLst>
            <a:ext uri="{FF2B5EF4-FFF2-40B4-BE49-F238E27FC236}">
              <a16:creationId xmlns:a16="http://schemas.microsoft.com/office/drawing/2014/main" id="{1786F679-0A0E-491D-A9C3-EE510E35A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2446700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139</xdr:row>
      <xdr:rowOff>219075</xdr:rowOff>
    </xdr:from>
    <xdr:ext cx="406349" cy="406349"/>
    <xdr:pic>
      <xdr:nvPicPr>
        <xdr:cNvPr id="41" name="Imagen 40">
          <a:extLst>
            <a:ext uri="{FF2B5EF4-FFF2-40B4-BE49-F238E27FC236}">
              <a16:creationId xmlns:a16="http://schemas.microsoft.com/office/drawing/2014/main" id="{CFF480A1-74B2-41DD-9D10-8BBA82C8D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248221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145</xdr:row>
      <xdr:rowOff>209550</xdr:rowOff>
    </xdr:from>
    <xdr:ext cx="406349" cy="406349"/>
    <xdr:pic>
      <xdr:nvPicPr>
        <xdr:cNvPr id="42" name="Imagen 41">
          <a:extLst>
            <a:ext uri="{FF2B5EF4-FFF2-40B4-BE49-F238E27FC236}">
              <a16:creationId xmlns:a16="http://schemas.microsoft.com/office/drawing/2014/main" id="{B81F46BA-F1C8-4829-9A51-816D6F661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2577465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145</xdr:row>
      <xdr:rowOff>219075</xdr:rowOff>
    </xdr:from>
    <xdr:ext cx="406349" cy="406349"/>
    <xdr:pic>
      <xdr:nvPicPr>
        <xdr:cNvPr id="43" name="Imagen 42">
          <a:extLst>
            <a:ext uri="{FF2B5EF4-FFF2-40B4-BE49-F238E27FC236}">
              <a16:creationId xmlns:a16="http://schemas.microsoft.com/office/drawing/2014/main" id="{0136001C-E059-40CC-9380-A38A0D028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2573655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151</xdr:row>
      <xdr:rowOff>219075</xdr:rowOff>
    </xdr:from>
    <xdr:ext cx="406349" cy="406349"/>
    <xdr:pic>
      <xdr:nvPicPr>
        <xdr:cNvPr id="44" name="Imagen 43">
          <a:extLst>
            <a:ext uri="{FF2B5EF4-FFF2-40B4-BE49-F238E27FC236}">
              <a16:creationId xmlns:a16="http://schemas.microsoft.com/office/drawing/2014/main" id="{3DFFB02B-6847-4EB6-994A-744BF1F0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271653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157</xdr:row>
      <xdr:rowOff>209550</xdr:rowOff>
    </xdr:from>
    <xdr:ext cx="406349" cy="406349"/>
    <xdr:pic>
      <xdr:nvPicPr>
        <xdr:cNvPr id="45" name="Imagen 44">
          <a:extLst>
            <a:ext uri="{FF2B5EF4-FFF2-40B4-BE49-F238E27FC236}">
              <a16:creationId xmlns:a16="http://schemas.microsoft.com/office/drawing/2014/main" id="{8895F1A5-4CC1-47EA-A6A0-CA2F5A29D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280701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163</xdr:row>
      <xdr:rowOff>219075</xdr:rowOff>
    </xdr:from>
    <xdr:ext cx="406349" cy="406349"/>
    <xdr:pic>
      <xdr:nvPicPr>
        <xdr:cNvPr id="46" name="Imagen 45">
          <a:extLst>
            <a:ext uri="{FF2B5EF4-FFF2-40B4-BE49-F238E27FC236}">
              <a16:creationId xmlns:a16="http://schemas.microsoft.com/office/drawing/2014/main" id="{CD9F0532-8E42-45DF-843C-6A2389DD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28521932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163</xdr:row>
      <xdr:rowOff>219075</xdr:rowOff>
    </xdr:from>
    <xdr:ext cx="406349" cy="406349"/>
    <xdr:pic>
      <xdr:nvPicPr>
        <xdr:cNvPr id="47" name="Imagen 46">
          <a:extLst>
            <a:ext uri="{FF2B5EF4-FFF2-40B4-BE49-F238E27FC236}">
              <a16:creationId xmlns:a16="http://schemas.microsoft.com/office/drawing/2014/main" id="{5A87F04C-5842-471C-8554-4FBE13ABF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289464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169</xdr:row>
      <xdr:rowOff>219075</xdr:rowOff>
    </xdr:from>
    <xdr:ext cx="406349" cy="406349"/>
    <xdr:pic>
      <xdr:nvPicPr>
        <xdr:cNvPr id="48" name="Imagen 47">
          <a:extLst>
            <a:ext uri="{FF2B5EF4-FFF2-40B4-BE49-F238E27FC236}">
              <a16:creationId xmlns:a16="http://schemas.microsoft.com/office/drawing/2014/main" id="{53536E01-29EF-4200-B2C3-D0068FD15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2942000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169</xdr:row>
      <xdr:rowOff>219075</xdr:rowOff>
    </xdr:from>
    <xdr:ext cx="406349" cy="406349"/>
    <xdr:pic>
      <xdr:nvPicPr>
        <xdr:cNvPr id="49" name="Imagen 48">
          <a:extLst>
            <a:ext uri="{FF2B5EF4-FFF2-40B4-BE49-F238E27FC236}">
              <a16:creationId xmlns:a16="http://schemas.microsoft.com/office/drawing/2014/main" id="{5C65F7D5-16A5-42A8-AA50-661DAB3CC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298608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175</xdr:row>
      <xdr:rowOff>209550</xdr:rowOff>
    </xdr:from>
    <xdr:ext cx="406349" cy="406349"/>
    <xdr:pic>
      <xdr:nvPicPr>
        <xdr:cNvPr id="50" name="Imagen 49">
          <a:extLst>
            <a:ext uri="{FF2B5EF4-FFF2-40B4-BE49-F238E27FC236}">
              <a16:creationId xmlns:a16="http://schemas.microsoft.com/office/drawing/2014/main" id="{E29D56E9-3389-4574-8354-D253F5466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30771193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175</xdr:row>
      <xdr:rowOff>219075</xdr:rowOff>
    </xdr:from>
    <xdr:ext cx="406349" cy="406349"/>
    <xdr:pic>
      <xdr:nvPicPr>
        <xdr:cNvPr id="51" name="Imagen 50">
          <a:extLst>
            <a:ext uri="{FF2B5EF4-FFF2-40B4-BE49-F238E27FC236}">
              <a16:creationId xmlns:a16="http://schemas.microsoft.com/office/drawing/2014/main" id="{5865DB4C-EDEE-4DD4-ABC2-45D7F71E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312420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181</xdr:row>
      <xdr:rowOff>219075</xdr:rowOff>
    </xdr:from>
    <xdr:ext cx="406349" cy="406349"/>
    <xdr:pic>
      <xdr:nvPicPr>
        <xdr:cNvPr id="52" name="Imagen 51">
          <a:extLst>
            <a:ext uri="{FF2B5EF4-FFF2-40B4-BE49-F238E27FC236}">
              <a16:creationId xmlns:a16="http://schemas.microsoft.com/office/drawing/2014/main" id="{B28C3C58-C9D3-4D26-8543-75DEFC5CA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31678789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181</xdr:row>
      <xdr:rowOff>219075</xdr:rowOff>
    </xdr:from>
    <xdr:ext cx="406349" cy="406349"/>
    <xdr:pic>
      <xdr:nvPicPr>
        <xdr:cNvPr id="53" name="Imagen 52">
          <a:extLst>
            <a:ext uri="{FF2B5EF4-FFF2-40B4-BE49-F238E27FC236}">
              <a16:creationId xmlns:a16="http://schemas.microsoft.com/office/drawing/2014/main" id="{24A59362-EE02-45F5-AC48-A3D60379F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321564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187</xdr:row>
      <xdr:rowOff>219075</xdr:rowOff>
    </xdr:from>
    <xdr:ext cx="406349" cy="406349"/>
    <xdr:pic>
      <xdr:nvPicPr>
        <xdr:cNvPr id="54" name="Imagen 53">
          <a:extLst>
            <a:ext uri="{FF2B5EF4-FFF2-40B4-BE49-F238E27FC236}">
              <a16:creationId xmlns:a16="http://schemas.microsoft.com/office/drawing/2014/main" id="{5083E437-F550-42BD-A725-EC6571A38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3257686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187</xdr:row>
      <xdr:rowOff>219075</xdr:rowOff>
    </xdr:from>
    <xdr:ext cx="406349" cy="406349"/>
    <xdr:pic>
      <xdr:nvPicPr>
        <xdr:cNvPr id="55" name="Imagen 54">
          <a:extLst>
            <a:ext uri="{FF2B5EF4-FFF2-40B4-BE49-F238E27FC236}">
              <a16:creationId xmlns:a16="http://schemas.microsoft.com/office/drawing/2014/main" id="{308C7492-ED66-4164-80B3-B8EBCD94F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3307080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193</xdr:row>
      <xdr:rowOff>219075</xdr:rowOff>
    </xdr:from>
    <xdr:ext cx="406349" cy="406349"/>
    <xdr:pic>
      <xdr:nvPicPr>
        <xdr:cNvPr id="56" name="Imagen 55">
          <a:extLst>
            <a:ext uri="{FF2B5EF4-FFF2-40B4-BE49-F238E27FC236}">
              <a16:creationId xmlns:a16="http://schemas.microsoft.com/office/drawing/2014/main" id="{9A5F4AE6-301F-403C-92E1-805585CEC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345186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199</xdr:row>
      <xdr:rowOff>219075</xdr:rowOff>
    </xdr:from>
    <xdr:ext cx="406349" cy="406349"/>
    <xdr:pic>
      <xdr:nvPicPr>
        <xdr:cNvPr id="57" name="Imagen 56">
          <a:extLst>
            <a:ext uri="{FF2B5EF4-FFF2-40B4-BE49-F238E27FC236}">
              <a16:creationId xmlns:a16="http://schemas.microsoft.com/office/drawing/2014/main" id="{82BC8BE0-27CF-4D2F-A688-F2BCC7C86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354330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205</xdr:row>
      <xdr:rowOff>219075</xdr:rowOff>
    </xdr:from>
    <xdr:ext cx="406349" cy="406349"/>
    <xdr:pic>
      <xdr:nvPicPr>
        <xdr:cNvPr id="58" name="Imagen 57">
          <a:extLst>
            <a:ext uri="{FF2B5EF4-FFF2-40B4-BE49-F238E27FC236}">
              <a16:creationId xmlns:a16="http://schemas.microsoft.com/office/drawing/2014/main" id="{239CD0E4-ED10-4CB6-B5CC-4D7659BC5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35733718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205</xdr:row>
      <xdr:rowOff>219075</xdr:rowOff>
    </xdr:from>
    <xdr:ext cx="406349" cy="406349"/>
    <xdr:pic>
      <xdr:nvPicPr>
        <xdr:cNvPr id="59" name="Imagen 58">
          <a:extLst>
            <a:ext uri="{FF2B5EF4-FFF2-40B4-BE49-F238E27FC236}">
              <a16:creationId xmlns:a16="http://schemas.microsoft.com/office/drawing/2014/main" id="{61E9E07F-D0D2-4C87-9B7F-AC5003972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362807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211</xdr:row>
      <xdr:rowOff>209550</xdr:rowOff>
    </xdr:from>
    <xdr:ext cx="406349" cy="406349"/>
    <xdr:pic>
      <xdr:nvPicPr>
        <xdr:cNvPr id="60" name="Imagen 59">
          <a:extLst>
            <a:ext uri="{FF2B5EF4-FFF2-40B4-BE49-F238E27FC236}">
              <a16:creationId xmlns:a16="http://schemas.microsoft.com/office/drawing/2014/main" id="{D5131810-A676-4F73-AAA0-F708B5A58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3662226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211</xdr:row>
      <xdr:rowOff>209550</xdr:rowOff>
    </xdr:from>
    <xdr:ext cx="406349" cy="406349"/>
    <xdr:pic>
      <xdr:nvPicPr>
        <xdr:cNvPr id="61" name="Imagen 60">
          <a:extLst>
            <a:ext uri="{FF2B5EF4-FFF2-40B4-BE49-F238E27FC236}">
              <a16:creationId xmlns:a16="http://schemas.microsoft.com/office/drawing/2014/main" id="{F6D84BB7-CC19-4DA2-9C65-DF941D03A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371856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217</xdr:row>
      <xdr:rowOff>219075</xdr:rowOff>
    </xdr:from>
    <xdr:ext cx="406349" cy="406349"/>
    <xdr:pic>
      <xdr:nvPicPr>
        <xdr:cNvPr id="62" name="Imagen 61">
          <a:extLst>
            <a:ext uri="{FF2B5EF4-FFF2-40B4-BE49-F238E27FC236}">
              <a16:creationId xmlns:a16="http://schemas.microsoft.com/office/drawing/2014/main" id="{353E2600-28AF-4172-85EE-B704C3A9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3799250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217</xdr:row>
      <xdr:rowOff>219075</xdr:rowOff>
    </xdr:from>
    <xdr:ext cx="406349" cy="406349"/>
    <xdr:pic>
      <xdr:nvPicPr>
        <xdr:cNvPr id="63" name="Imagen 62">
          <a:extLst>
            <a:ext uri="{FF2B5EF4-FFF2-40B4-BE49-F238E27FC236}">
              <a16:creationId xmlns:a16="http://schemas.microsoft.com/office/drawing/2014/main" id="{88DA9719-A576-4087-8B05-408BA74C7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385762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223</xdr:row>
      <xdr:rowOff>219075</xdr:rowOff>
    </xdr:from>
    <xdr:ext cx="406349" cy="406349"/>
    <xdr:pic>
      <xdr:nvPicPr>
        <xdr:cNvPr id="64" name="Imagen 63">
          <a:extLst>
            <a:ext uri="{FF2B5EF4-FFF2-40B4-BE49-F238E27FC236}">
              <a16:creationId xmlns:a16="http://schemas.microsoft.com/office/drawing/2014/main" id="{19C28311-B48D-4FD7-9A16-B8CA485F0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38890575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223</xdr:row>
      <xdr:rowOff>219075</xdr:rowOff>
    </xdr:from>
    <xdr:ext cx="406349" cy="406349"/>
    <xdr:pic>
      <xdr:nvPicPr>
        <xdr:cNvPr id="65" name="Imagen 64">
          <a:extLst>
            <a:ext uri="{FF2B5EF4-FFF2-40B4-BE49-F238E27FC236}">
              <a16:creationId xmlns:a16="http://schemas.microsoft.com/office/drawing/2014/main" id="{B5721E96-83F4-4B64-B41A-DCE2FC227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394906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229</xdr:row>
      <xdr:rowOff>209550</xdr:rowOff>
    </xdr:from>
    <xdr:ext cx="406349" cy="406349"/>
    <xdr:pic>
      <xdr:nvPicPr>
        <xdr:cNvPr id="66" name="Imagen 65">
          <a:extLst>
            <a:ext uri="{FF2B5EF4-FFF2-40B4-BE49-F238E27FC236}">
              <a16:creationId xmlns:a16="http://schemas.microsoft.com/office/drawing/2014/main" id="{B39AF2B0-EA7F-4439-882C-DD5089AC3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3977912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229</xdr:row>
      <xdr:rowOff>219075</xdr:rowOff>
    </xdr:from>
    <xdr:ext cx="406349" cy="406349"/>
    <xdr:pic>
      <xdr:nvPicPr>
        <xdr:cNvPr id="67" name="Imagen 66">
          <a:extLst>
            <a:ext uri="{FF2B5EF4-FFF2-40B4-BE49-F238E27FC236}">
              <a16:creationId xmlns:a16="http://schemas.microsoft.com/office/drawing/2014/main" id="{C83BDA05-85AC-4DA8-98EC-1BE1CBA84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04050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235</xdr:row>
      <xdr:rowOff>219075</xdr:rowOff>
    </xdr:from>
    <xdr:ext cx="406349" cy="406349"/>
    <xdr:pic>
      <xdr:nvPicPr>
        <xdr:cNvPr id="68" name="Imagen 67">
          <a:extLst>
            <a:ext uri="{FF2B5EF4-FFF2-40B4-BE49-F238E27FC236}">
              <a16:creationId xmlns:a16="http://schemas.microsoft.com/office/drawing/2014/main" id="{1169C24B-B558-490C-AD11-011B6587F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40686718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235</xdr:row>
      <xdr:rowOff>219075</xdr:rowOff>
    </xdr:from>
    <xdr:ext cx="406349" cy="406349"/>
    <xdr:pic>
      <xdr:nvPicPr>
        <xdr:cNvPr id="69" name="Imagen 68">
          <a:extLst>
            <a:ext uri="{FF2B5EF4-FFF2-40B4-BE49-F238E27FC236}">
              <a16:creationId xmlns:a16="http://schemas.microsoft.com/office/drawing/2014/main" id="{9F53D362-D269-4F2C-9736-686355B78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13194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241</xdr:row>
      <xdr:rowOff>219075</xdr:rowOff>
    </xdr:from>
    <xdr:ext cx="406349" cy="406349"/>
    <xdr:pic>
      <xdr:nvPicPr>
        <xdr:cNvPr id="70" name="Imagen 69">
          <a:extLst>
            <a:ext uri="{FF2B5EF4-FFF2-40B4-BE49-F238E27FC236}">
              <a16:creationId xmlns:a16="http://schemas.microsoft.com/office/drawing/2014/main" id="{92E63683-7029-4F17-9955-7BC310875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41584789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241</xdr:row>
      <xdr:rowOff>219075</xdr:rowOff>
    </xdr:from>
    <xdr:ext cx="406349" cy="406349"/>
    <xdr:pic>
      <xdr:nvPicPr>
        <xdr:cNvPr id="71" name="Imagen 70">
          <a:extLst>
            <a:ext uri="{FF2B5EF4-FFF2-40B4-BE49-F238E27FC236}">
              <a16:creationId xmlns:a16="http://schemas.microsoft.com/office/drawing/2014/main" id="{5B3E61F0-03BF-402C-872D-FF6113C31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22338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247</xdr:row>
      <xdr:rowOff>209550</xdr:rowOff>
    </xdr:from>
    <xdr:ext cx="406349" cy="406349"/>
    <xdr:pic>
      <xdr:nvPicPr>
        <xdr:cNvPr id="72" name="Imagen 71">
          <a:extLst>
            <a:ext uri="{FF2B5EF4-FFF2-40B4-BE49-F238E27FC236}">
              <a16:creationId xmlns:a16="http://schemas.microsoft.com/office/drawing/2014/main" id="{DE79B7B7-F482-46A3-8908-EDBC7A650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42935979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247</xdr:row>
      <xdr:rowOff>219075</xdr:rowOff>
    </xdr:from>
    <xdr:ext cx="406349" cy="406349"/>
    <xdr:pic>
      <xdr:nvPicPr>
        <xdr:cNvPr id="73" name="Imagen 72">
          <a:extLst>
            <a:ext uri="{FF2B5EF4-FFF2-40B4-BE49-F238E27FC236}">
              <a16:creationId xmlns:a16="http://schemas.microsoft.com/office/drawing/2014/main" id="{6EFEC07F-7596-44DA-A103-269D5D0B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36149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253</xdr:row>
      <xdr:rowOff>219075</xdr:rowOff>
    </xdr:from>
    <xdr:ext cx="406349" cy="406349"/>
    <xdr:pic>
      <xdr:nvPicPr>
        <xdr:cNvPr id="74" name="Imagen 73">
          <a:extLst>
            <a:ext uri="{FF2B5EF4-FFF2-40B4-BE49-F238E27FC236}">
              <a16:creationId xmlns:a16="http://schemas.microsoft.com/office/drawing/2014/main" id="{05642B78-01B2-4DE5-83AB-A7FDA7C79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446151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259</xdr:row>
      <xdr:rowOff>209550</xdr:rowOff>
    </xdr:from>
    <xdr:ext cx="406349" cy="406349"/>
    <xdr:pic>
      <xdr:nvPicPr>
        <xdr:cNvPr id="75" name="Imagen 74">
          <a:extLst>
            <a:ext uri="{FF2B5EF4-FFF2-40B4-BE49-F238E27FC236}">
              <a16:creationId xmlns:a16="http://schemas.microsoft.com/office/drawing/2014/main" id="{F87BD26E-9A81-4E3A-AE48-BD6809BE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4473212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259</xdr:row>
      <xdr:rowOff>209550</xdr:rowOff>
    </xdr:from>
    <xdr:ext cx="406349" cy="406349"/>
    <xdr:pic>
      <xdr:nvPicPr>
        <xdr:cNvPr id="76" name="Imagen 75">
          <a:extLst>
            <a:ext uri="{FF2B5EF4-FFF2-40B4-BE49-F238E27FC236}">
              <a16:creationId xmlns:a16="http://schemas.microsoft.com/office/drawing/2014/main" id="{F72085E8-7C06-40E7-8F02-68E625487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54342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265</xdr:row>
      <xdr:rowOff>219075</xdr:rowOff>
    </xdr:from>
    <xdr:ext cx="406349" cy="406349"/>
    <xdr:pic>
      <xdr:nvPicPr>
        <xdr:cNvPr id="77" name="Imagen 76">
          <a:extLst>
            <a:ext uri="{FF2B5EF4-FFF2-40B4-BE49-F238E27FC236}">
              <a16:creationId xmlns:a16="http://schemas.microsoft.com/office/drawing/2014/main" id="{746158BE-6DBF-4893-914E-B9075986C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4610236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265</xdr:row>
      <xdr:rowOff>219075</xdr:rowOff>
    </xdr:from>
    <xdr:ext cx="406349" cy="406349"/>
    <xdr:pic>
      <xdr:nvPicPr>
        <xdr:cNvPr id="78" name="Imagen 77">
          <a:extLst>
            <a:ext uri="{FF2B5EF4-FFF2-40B4-BE49-F238E27FC236}">
              <a16:creationId xmlns:a16="http://schemas.microsoft.com/office/drawing/2014/main" id="{1980755B-8325-40B1-90BE-9E38F7974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68249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271</xdr:row>
      <xdr:rowOff>219075</xdr:rowOff>
    </xdr:from>
    <xdr:ext cx="406349" cy="406349"/>
    <xdr:pic>
      <xdr:nvPicPr>
        <xdr:cNvPr id="79" name="Imagen 78">
          <a:extLst>
            <a:ext uri="{FF2B5EF4-FFF2-40B4-BE49-F238E27FC236}">
              <a16:creationId xmlns:a16="http://schemas.microsoft.com/office/drawing/2014/main" id="{265DC20D-4738-4EFF-9B60-038676985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47000432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271</xdr:row>
      <xdr:rowOff>219075</xdr:rowOff>
    </xdr:from>
    <xdr:ext cx="406349" cy="406349"/>
    <xdr:pic>
      <xdr:nvPicPr>
        <xdr:cNvPr id="80" name="Imagen 79">
          <a:extLst>
            <a:ext uri="{FF2B5EF4-FFF2-40B4-BE49-F238E27FC236}">
              <a16:creationId xmlns:a16="http://schemas.microsoft.com/office/drawing/2014/main" id="{DE269969-723F-4665-B230-B55BF1880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77393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277</xdr:row>
      <xdr:rowOff>219075</xdr:rowOff>
    </xdr:from>
    <xdr:ext cx="406349" cy="406349"/>
    <xdr:pic>
      <xdr:nvPicPr>
        <xdr:cNvPr id="81" name="Imagen 80">
          <a:extLst>
            <a:ext uri="{FF2B5EF4-FFF2-40B4-BE49-F238E27FC236}">
              <a16:creationId xmlns:a16="http://schemas.microsoft.com/office/drawing/2014/main" id="{F93256A0-B9CB-4D76-9CDD-14DE101EE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4789850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277</xdr:row>
      <xdr:rowOff>219075</xdr:rowOff>
    </xdr:from>
    <xdr:ext cx="406349" cy="406349"/>
    <xdr:pic>
      <xdr:nvPicPr>
        <xdr:cNvPr id="82" name="Imagen 81">
          <a:extLst>
            <a:ext uri="{FF2B5EF4-FFF2-40B4-BE49-F238E27FC236}">
              <a16:creationId xmlns:a16="http://schemas.microsoft.com/office/drawing/2014/main" id="{E1E35638-2E74-4FB1-AB10-82E27C16C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86537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283</xdr:row>
      <xdr:rowOff>219075</xdr:rowOff>
    </xdr:from>
    <xdr:ext cx="406349" cy="406349"/>
    <xdr:pic>
      <xdr:nvPicPr>
        <xdr:cNvPr id="83" name="Imagen 82">
          <a:extLst>
            <a:ext uri="{FF2B5EF4-FFF2-40B4-BE49-F238E27FC236}">
              <a16:creationId xmlns:a16="http://schemas.microsoft.com/office/drawing/2014/main" id="{7EBF029E-FF34-4D9E-BA75-C49A5E983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48796575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283</xdr:row>
      <xdr:rowOff>219075</xdr:rowOff>
    </xdr:from>
    <xdr:ext cx="406349" cy="406349"/>
    <xdr:pic>
      <xdr:nvPicPr>
        <xdr:cNvPr id="84" name="Imagen 83">
          <a:extLst>
            <a:ext uri="{FF2B5EF4-FFF2-40B4-BE49-F238E27FC236}">
              <a16:creationId xmlns:a16="http://schemas.microsoft.com/office/drawing/2014/main" id="{9602229C-84AE-42A0-B43C-4CD3D9B6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495681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289</xdr:row>
      <xdr:rowOff>219075</xdr:rowOff>
    </xdr:from>
    <xdr:ext cx="406349" cy="406349"/>
    <xdr:pic>
      <xdr:nvPicPr>
        <xdr:cNvPr id="85" name="Imagen 84">
          <a:extLst>
            <a:ext uri="{FF2B5EF4-FFF2-40B4-BE49-F238E27FC236}">
              <a16:creationId xmlns:a16="http://schemas.microsoft.com/office/drawing/2014/main" id="{0626A8EE-7AD2-4F1A-A2D7-282AA5BAA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505777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295</xdr:row>
      <xdr:rowOff>209550</xdr:rowOff>
    </xdr:from>
    <xdr:ext cx="406349" cy="406349"/>
    <xdr:pic>
      <xdr:nvPicPr>
        <xdr:cNvPr id="86" name="Imagen 85">
          <a:extLst>
            <a:ext uri="{FF2B5EF4-FFF2-40B4-BE49-F238E27FC236}">
              <a16:creationId xmlns:a16="http://schemas.microsoft.com/office/drawing/2014/main" id="{07B00835-20AD-446A-AB95-EED652735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51045836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295</xdr:row>
      <xdr:rowOff>209550</xdr:rowOff>
    </xdr:from>
    <xdr:ext cx="406349" cy="406349"/>
    <xdr:pic>
      <xdr:nvPicPr>
        <xdr:cNvPr id="87" name="Imagen 86">
          <a:extLst>
            <a:ext uri="{FF2B5EF4-FFF2-40B4-BE49-F238E27FC236}">
              <a16:creationId xmlns:a16="http://schemas.microsoft.com/office/drawing/2014/main" id="{F59E3B34-F541-4C4D-A873-08D74D682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5185410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301</xdr:row>
      <xdr:rowOff>219075</xdr:rowOff>
    </xdr:from>
    <xdr:ext cx="406349" cy="406349"/>
    <xdr:pic>
      <xdr:nvPicPr>
        <xdr:cNvPr id="88" name="Imagen 87">
          <a:extLst>
            <a:ext uri="{FF2B5EF4-FFF2-40B4-BE49-F238E27FC236}">
              <a16:creationId xmlns:a16="http://schemas.microsoft.com/office/drawing/2014/main" id="{35C3C0AA-9C10-46C5-9FA0-DE0F9B94F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528828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307</xdr:row>
      <xdr:rowOff>219075</xdr:rowOff>
    </xdr:from>
    <xdr:ext cx="406349" cy="406349"/>
    <xdr:pic>
      <xdr:nvPicPr>
        <xdr:cNvPr id="89" name="Imagen 88">
          <a:extLst>
            <a:ext uri="{FF2B5EF4-FFF2-40B4-BE49-F238E27FC236}">
              <a16:creationId xmlns:a16="http://schemas.microsoft.com/office/drawing/2014/main" id="{3A7A927F-96CE-4D82-B7C6-F9BC9569A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5285150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307</xdr:row>
      <xdr:rowOff>219075</xdr:rowOff>
    </xdr:from>
    <xdr:ext cx="406349" cy="406349"/>
    <xdr:pic>
      <xdr:nvPicPr>
        <xdr:cNvPr id="90" name="Imagen 89">
          <a:extLst>
            <a:ext uri="{FF2B5EF4-FFF2-40B4-BE49-F238E27FC236}">
              <a16:creationId xmlns:a16="http://schemas.microsoft.com/office/drawing/2014/main" id="{BAE0A89A-844B-472B-8B04-539413847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536924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313</xdr:row>
      <xdr:rowOff>209550</xdr:rowOff>
    </xdr:from>
    <xdr:ext cx="406349" cy="406349"/>
    <xdr:pic>
      <xdr:nvPicPr>
        <xdr:cNvPr id="91" name="Imagen 90">
          <a:extLst>
            <a:ext uri="{FF2B5EF4-FFF2-40B4-BE49-F238E27FC236}">
              <a16:creationId xmlns:a16="http://schemas.microsoft.com/office/drawing/2014/main" id="{AE192500-0690-4F9E-8B51-A923B6FD9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5374005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313</xdr:row>
      <xdr:rowOff>219075</xdr:rowOff>
    </xdr:from>
    <xdr:ext cx="406349" cy="406349"/>
    <xdr:pic>
      <xdr:nvPicPr>
        <xdr:cNvPr id="92" name="Imagen 91">
          <a:extLst>
            <a:ext uri="{FF2B5EF4-FFF2-40B4-BE49-F238E27FC236}">
              <a16:creationId xmlns:a16="http://schemas.microsoft.com/office/drawing/2014/main" id="{B1122363-1404-4A42-89F6-DDBE05BB2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54606825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319</xdr:row>
      <xdr:rowOff>219075</xdr:rowOff>
    </xdr:from>
    <xdr:ext cx="406349" cy="406349"/>
    <xdr:pic>
      <xdr:nvPicPr>
        <xdr:cNvPr id="93" name="Imagen 92">
          <a:extLst>
            <a:ext uri="{FF2B5EF4-FFF2-40B4-BE49-F238E27FC236}">
              <a16:creationId xmlns:a16="http://schemas.microsoft.com/office/drawing/2014/main" id="{AD1258C8-F46C-4EC2-9A80-6307C2802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556260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325</xdr:row>
      <xdr:rowOff>209550</xdr:rowOff>
    </xdr:from>
    <xdr:ext cx="406349" cy="406349"/>
    <xdr:pic>
      <xdr:nvPicPr>
        <xdr:cNvPr id="94" name="Imagen 93">
          <a:extLst>
            <a:ext uri="{FF2B5EF4-FFF2-40B4-BE49-F238E27FC236}">
              <a16:creationId xmlns:a16="http://schemas.microsoft.com/office/drawing/2014/main" id="{7B413807-156E-410F-8CC3-E75922D20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55536193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325</xdr:row>
      <xdr:rowOff>219075</xdr:rowOff>
    </xdr:from>
    <xdr:ext cx="406349" cy="406349"/>
    <xdr:pic>
      <xdr:nvPicPr>
        <xdr:cNvPr id="95" name="Imagen 94">
          <a:extLst>
            <a:ext uri="{FF2B5EF4-FFF2-40B4-BE49-F238E27FC236}">
              <a16:creationId xmlns:a16="http://schemas.microsoft.com/office/drawing/2014/main" id="{E25E9B82-95CB-45CD-8472-3AC9D5174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564356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331</xdr:row>
      <xdr:rowOff>219075</xdr:rowOff>
    </xdr:from>
    <xdr:ext cx="406349" cy="406349"/>
    <xdr:pic>
      <xdr:nvPicPr>
        <xdr:cNvPr id="96" name="Imagen 95">
          <a:extLst>
            <a:ext uri="{FF2B5EF4-FFF2-40B4-BE49-F238E27FC236}">
              <a16:creationId xmlns:a16="http://schemas.microsoft.com/office/drawing/2014/main" id="{5647D46D-13CD-4AD2-9A0C-0FA2E3C1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56906432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331</xdr:row>
      <xdr:rowOff>219075</xdr:rowOff>
    </xdr:from>
    <xdr:ext cx="406349" cy="406349"/>
    <xdr:pic>
      <xdr:nvPicPr>
        <xdr:cNvPr id="97" name="Imagen 96">
          <a:extLst>
            <a:ext uri="{FF2B5EF4-FFF2-40B4-BE49-F238E27FC236}">
              <a16:creationId xmlns:a16="http://schemas.microsoft.com/office/drawing/2014/main" id="{7794DF62-0B95-424D-9AA9-C33FAC71D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578167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337</xdr:row>
      <xdr:rowOff>209550</xdr:rowOff>
    </xdr:from>
    <xdr:ext cx="406349" cy="406349"/>
    <xdr:pic>
      <xdr:nvPicPr>
        <xdr:cNvPr id="98" name="Imagen 97">
          <a:extLst>
            <a:ext uri="{FF2B5EF4-FFF2-40B4-BE49-F238E27FC236}">
              <a16:creationId xmlns:a16="http://schemas.microsoft.com/office/drawing/2014/main" id="{75B0099D-E42C-4249-866F-3E79BDE94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57794979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337</xdr:row>
      <xdr:rowOff>209550</xdr:rowOff>
    </xdr:from>
    <xdr:ext cx="406349" cy="406349"/>
    <xdr:pic>
      <xdr:nvPicPr>
        <xdr:cNvPr id="99" name="Imagen 98">
          <a:extLst>
            <a:ext uri="{FF2B5EF4-FFF2-40B4-BE49-F238E27FC236}">
              <a16:creationId xmlns:a16="http://schemas.microsoft.com/office/drawing/2014/main" id="{DA74BA65-A534-4177-B637-96E569713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587216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343</xdr:row>
      <xdr:rowOff>209550</xdr:rowOff>
    </xdr:from>
    <xdr:ext cx="406349" cy="406349"/>
    <xdr:pic>
      <xdr:nvPicPr>
        <xdr:cNvPr id="100" name="Imagen 99">
          <a:extLst>
            <a:ext uri="{FF2B5EF4-FFF2-40B4-BE49-F238E27FC236}">
              <a16:creationId xmlns:a16="http://schemas.microsoft.com/office/drawing/2014/main" id="{F0E595D0-2772-4B5E-9F2E-A60BACF5A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597503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349</xdr:row>
      <xdr:rowOff>209550</xdr:rowOff>
    </xdr:from>
    <xdr:ext cx="406349" cy="406349"/>
    <xdr:pic>
      <xdr:nvPicPr>
        <xdr:cNvPr id="101" name="Imagen 100">
          <a:extLst>
            <a:ext uri="{FF2B5EF4-FFF2-40B4-BE49-F238E27FC236}">
              <a16:creationId xmlns:a16="http://schemas.microsoft.com/office/drawing/2014/main" id="{3979AE47-5788-4708-867C-80C55C240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5959112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349</xdr:row>
      <xdr:rowOff>209550</xdr:rowOff>
    </xdr:from>
    <xdr:ext cx="406349" cy="406349"/>
    <xdr:pic>
      <xdr:nvPicPr>
        <xdr:cNvPr id="102" name="Imagen 101">
          <a:extLst>
            <a:ext uri="{FF2B5EF4-FFF2-40B4-BE49-F238E27FC236}">
              <a16:creationId xmlns:a16="http://schemas.microsoft.com/office/drawing/2014/main" id="{969D5ACD-F5E6-42E5-A791-765F63DFF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0550425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355</xdr:row>
      <xdr:rowOff>209550</xdr:rowOff>
    </xdr:from>
    <xdr:ext cx="406349" cy="406349"/>
    <xdr:pic>
      <xdr:nvPicPr>
        <xdr:cNvPr id="103" name="Imagen 102">
          <a:extLst>
            <a:ext uri="{FF2B5EF4-FFF2-40B4-BE49-F238E27FC236}">
              <a16:creationId xmlns:a16="http://schemas.microsoft.com/office/drawing/2014/main" id="{90EE6B01-E75F-4682-8C2C-3A0502BA2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15791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361</xdr:row>
      <xdr:rowOff>219075</xdr:rowOff>
    </xdr:from>
    <xdr:ext cx="406349" cy="406349"/>
    <xdr:pic>
      <xdr:nvPicPr>
        <xdr:cNvPr id="104" name="Imagen 103">
          <a:extLst>
            <a:ext uri="{FF2B5EF4-FFF2-40B4-BE49-F238E27FC236}">
              <a16:creationId xmlns:a16="http://schemas.microsoft.com/office/drawing/2014/main" id="{FB149D0B-D333-4B45-8182-210CA9259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61396789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361</xdr:row>
      <xdr:rowOff>219075</xdr:rowOff>
    </xdr:from>
    <xdr:ext cx="406349" cy="406349"/>
    <xdr:pic>
      <xdr:nvPicPr>
        <xdr:cNvPr id="105" name="Imagen 104">
          <a:extLst>
            <a:ext uri="{FF2B5EF4-FFF2-40B4-BE49-F238E27FC236}">
              <a16:creationId xmlns:a16="http://schemas.microsoft.com/office/drawing/2014/main" id="{B2D23CB2-F4A4-4BB0-B432-1D3DD253C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23887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367</xdr:row>
      <xdr:rowOff>209550</xdr:rowOff>
    </xdr:from>
    <xdr:ext cx="406349" cy="406349"/>
    <xdr:pic>
      <xdr:nvPicPr>
        <xdr:cNvPr id="106" name="Imagen 105">
          <a:extLst>
            <a:ext uri="{FF2B5EF4-FFF2-40B4-BE49-F238E27FC236}">
              <a16:creationId xmlns:a16="http://schemas.microsoft.com/office/drawing/2014/main" id="{39E6E77D-B6F9-4DF9-9653-F49FE2751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62747979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367</xdr:row>
      <xdr:rowOff>209550</xdr:rowOff>
    </xdr:from>
    <xdr:ext cx="406349" cy="406349"/>
    <xdr:pic>
      <xdr:nvPicPr>
        <xdr:cNvPr id="107" name="Imagen 106">
          <a:extLst>
            <a:ext uri="{FF2B5EF4-FFF2-40B4-BE49-F238E27FC236}">
              <a16:creationId xmlns:a16="http://schemas.microsoft.com/office/drawing/2014/main" id="{88CD5424-4673-456F-BEE8-956E73C5A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37603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373</xdr:row>
      <xdr:rowOff>209550</xdr:rowOff>
    </xdr:from>
    <xdr:ext cx="406349" cy="406349"/>
    <xdr:pic>
      <xdr:nvPicPr>
        <xdr:cNvPr id="108" name="Imagen 107">
          <a:extLst>
            <a:ext uri="{FF2B5EF4-FFF2-40B4-BE49-F238E27FC236}">
              <a16:creationId xmlns:a16="http://schemas.microsoft.com/office/drawing/2014/main" id="{4895104D-3A44-4430-8062-413C94FD4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647985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379</xdr:row>
      <xdr:rowOff>209550</xdr:rowOff>
    </xdr:from>
    <xdr:ext cx="406349" cy="406349"/>
    <xdr:pic>
      <xdr:nvPicPr>
        <xdr:cNvPr id="109" name="Imagen 108">
          <a:extLst>
            <a:ext uri="{FF2B5EF4-FFF2-40B4-BE49-F238E27FC236}">
              <a16:creationId xmlns:a16="http://schemas.microsoft.com/office/drawing/2014/main" id="{B9D4D3A5-013C-4025-B3C7-6889F27EA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6454412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379</xdr:row>
      <xdr:rowOff>209550</xdr:rowOff>
    </xdr:from>
    <xdr:ext cx="406349" cy="406349"/>
    <xdr:pic>
      <xdr:nvPicPr>
        <xdr:cNvPr id="110" name="Imagen 109">
          <a:extLst>
            <a:ext uri="{FF2B5EF4-FFF2-40B4-BE49-F238E27FC236}">
              <a16:creationId xmlns:a16="http://schemas.microsoft.com/office/drawing/2014/main" id="{22C0A93E-628C-4371-B63D-E2988C185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558915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385</xdr:row>
      <xdr:rowOff>219075</xdr:rowOff>
    </xdr:from>
    <xdr:ext cx="406349" cy="406349"/>
    <xdr:pic>
      <xdr:nvPicPr>
        <xdr:cNvPr id="111" name="Imagen 110">
          <a:extLst>
            <a:ext uri="{FF2B5EF4-FFF2-40B4-BE49-F238E27FC236}">
              <a16:creationId xmlns:a16="http://schemas.microsoft.com/office/drawing/2014/main" id="{EFDABF3C-9229-415B-B262-4D384CE9E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65451718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385</xdr:row>
      <xdr:rowOff>219075</xdr:rowOff>
    </xdr:from>
    <xdr:ext cx="406349" cy="406349"/>
    <xdr:pic>
      <xdr:nvPicPr>
        <xdr:cNvPr id="112" name="Imagen 111">
          <a:extLst>
            <a:ext uri="{FF2B5EF4-FFF2-40B4-BE49-F238E27FC236}">
              <a16:creationId xmlns:a16="http://schemas.microsoft.com/office/drawing/2014/main" id="{F2A477A9-C292-4D06-9A79-229F16023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651307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391</xdr:row>
      <xdr:rowOff>219075</xdr:rowOff>
    </xdr:from>
    <xdr:ext cx="406349" cy="406349"/>
    <xdr:pic>
      <xdr:nvPicPr>
        <xdr:cNvPr id="113" name="Imagen 112">
          <a:extLst>
            <a:ext uri="{FF2B5EF4-FFF2-40B4-BE49-F238E27FC236}">
              <a16:creationId xmlns:a16="http://schemas.microsoft.com/office/drawing/2014/main" id="{2BB85439-3A30-4AD7-9FCE-20008469B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66812432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391</xdr:row>
      <xdr:rowOff>219075</xdr:rowOff>
    </xdr:from>
    <xdr:ext cx="406349" cy="406349"/>
    <xdr:pic>
      <xdr:nvPicPr>
        <xdr:cNvPr id="114" name="Imagen 113">
          <a:extLst>
            <a:ext uri="{FF2B5EF4-FFF2-40B4-BE49-F238E27FC236}">
              <a16:creationId xmlns:a16="http://schemas.microsoft.com/office/drawing/2014/main" id="{921828D4-ACAD-4390-A9D6-D4B38294B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78942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397</xdr:row>
      <xdr:rowOff>219075</xdr:rowOff>
    </xdr:from>
    <xdr:ext cx="406349" cy="406349"/>
    <xdr:pic>
      <xdr:nvPicPr>
        <xdr:cNvPr id="115" name="Imagen 114">
          <a:extLst>
            <a:ext uri="{FF2B5EF4-FFF2-40B4-BE49-F238E27FC236}">
              <a16:creationId xmlns:a16="http://schemas.microsoft.com/office/drawing/2014/main" id="{CF18AD2D-7415-41C5-95BA-3759E077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67710504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397</xdr:row>
      <xdr:rowOff>219075</xdr:rowOff>
    </xdr:from>
    <xdr:ext cx="406349" cy="406349"/>
    <xdr:pic>
      <xdr:nvPicPr>
        <xdr:cNvPr id="116" name="Imagen 115">
          <a:extLst>
            <a:ext uri="{FF2B5EF4-FFF2-40B4-BE49-F238E27FC236}">
              <a16:creationId xmlns:a16="http://schemas.microsoft.com/office/drawing/2014/main" id="{AA3D887E-E3A7-4B18-8821-A8199C7F3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88086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403</xdr:row>
      <xdr:rowOff>209550</xdr:rowOff>
    </xdr:from>
    <xdr:ext cx="406349" cy="406349"/>
    <xdr:pic>
      <xdr:nvPicPr>
        <xdr:cNvPr id="117" name="Imagen 116">
          <a:extLst>
            <a:ext uri="{FF2B5EF4-FFF2-40B4-BE49-F238E27FC236}">
              <a16:creationId xmlns:a16="http://schemas.microsoft.com/office/drawing/2014/main" id="{30374D7B-01D8-491B-8DDA-A1DA8DEB7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6859905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403</xdr:row>
      <xdr:rowOff>219075</xdr:rowOff>
    </xdr:from>
    <xdr:ext cx="406349" cy="406349"/>
    <xdr:pic>
      <xdr:nvPicPr>
        <xdr:cNvPr id="118" name="Imagen 117">
          <a:extLst>
            <a:ext uri="{FF2B5EF4-FFF2-40B4-BE49-F238E27FC236}">
              <a16:creationId xmlns:a16="http://schemas.microsoft.com/office/drawing/2014/main" id="{86D9D859-A9FA-441A-AA6C-C804B0B28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697230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409</xdr:row>
      <xdr:rowOff>219075</xdr:rowOff>
    </xdr:from>
    <xdr:ext cx="406349" cy="406349"/>
    <xdr:pic>
      <xdr:nvPicPr>
        <xdr:cNvPr id="119" name="Imagen 118">
          <a:extLst>
            <a:ext uri="{FF2B5EF4-FFF2-40B4-BE49-F238E27FC236}">
              <a16:creationId xmlns:a16="http://schemas.microsoft.com/office/drawing/2014/main" id="{FB785328-EE76-4F5D-9CD8-C9C15E0BF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69506646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409</xdr:row>
      <xdr:rowOff>219075</xdr:rowOff>
    </xdr:from>
    <xdr:ext cx="406349" cy="406349"/>
    <xdr:pic>
      <xdr:nvPicPr>
        <xdr:cNvPr id="120" name="Imagen 119">
          <a:extLst>
            <a:ext uri="{FF2B5EF4-FFF2-40B4-BE49-F238E27FC236}">
              <a16:creationId xmlns:a16="http://schemas.microsoft.com/office/drawing/2014/main" id="{B280AF2E-433A-430B-BDBA-AE72741F9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706374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415</xdr:row>
      <xdr:rowOff>209550</xdr:rowOff>
    </xdr:from>
    <xdr:ext cx="406349" cy="406349"/>
    <xdr:pic>
      <xdr:nvPicPr>
        <xdr:cNvPr id="121" name="Imagen 120">
          <a:extLst>
            <a:ext uri="{FF2B5EF4-FFF2-40B4-BE49-F238E27FC236}">
              <a16:creationId xmlns:a16="http://schemas.microsoft.com/office/drawing/2014/main" id="{EED8A556-685B-41F1-8238-DFB1CADF9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70395193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415</xdr:row>
      <xdr:rowOff>219075</xdr:rowOff>
    </xdr:from>
    <xdr:ext cx="406349" cy="406349"/>
    <xdr:pic>
      <xdr:nvPicPr>
        <xdr:cNvPr id="122" name="Imagen 121">
          <a:extLst>
            <a:ext uri="{FF2B5EF4-FFF2-40B4-BE49-F238E27FC236}">
              <a16:creationId xmlns:a16="http://schemas.microsoft.com/office/drawing/2014/main" id="{9F1652E8-25DF-4DC4-ABD1-F86DB1564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71551800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421</xdr:row>
      <xdr:rowOff>209550</xdr:rowOff>
    </xdr:from>
    <xdr:ext cx="406349" cy="406349"/>
    <xdr:pic>
      <xdr:nvPicPr>
        <xdr:cNvPr id="123" name="Imagen 122">
          <a:extLst>
            <a:ext uri="{FF2B5EF4-FFF2-40B4-BE49-F238E27FC236}">
              <a16:creationId xmlns:a16="http://schemas.microsoft.com/office/drawing/2014/main" id="{301C8E2F-32C3-4DF7-AEAA-2CFFA6427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72590025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427</xdr:row>
      <xdr:rowOff>219075</xdr:rowOff>
    </xdr:from>
    <xdr:ext cx="406349" cy="406349"/>
    <xdr:pic>
      <xdr:nvPicPr>
        <xdr:cNvPr id="124" name="Imagen 123">
          <a:extLst>
            <a:ext uri="{FF2B5EF4-FFF2-40B4-BE49-F238E27FC236}">
              <a16:creationId xmlns:a16="http://schemas.microsoft.com/office/drawing/2014/main" id="{75094865-F99C-43D1-8DC5-6FC303136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72200861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427</xdr:row>
      <xdr:rowOff>219075</xdr:rowOff>
    </xdr:from>
    <xdr:ext cx="406349" cy="406349"/>
    <xdr:pic>
      <xdr:nvPicPr>
        <xdr:cNvPr id="125" name="Imagen 124">
          <a:extLst>
            <a:ext uri="{FF2B5EF4-FFF2-40B4-BE49-F238E27FC236}">
              <a16:creationId xmlns:a16="http://schemas.microsoft.com/office/drawing/2014/main" id="{8385D88D-AB0F-4994-AE01-383F37F94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73380600"/>
          <a:ext cx="406349" cy="406349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433</xdr:row>
      <xdr:rowOff>219075</xdr:rowOff>
    </xdr:from>
    <xdr:ext cx="406349" cy="406349"/>
    <xdr:pic>
      <xdr:nvPicPr>
        <xdr:cNvPr id="126" name="Imagen 125">
          <a:extLst>
            <a:ext uri="{FF2B5EF4-FFF2-40B4-BE49-F238E27FC236}">
              <a16:creationId xmlns:a16="http://schemas.microsoft.com/office/drawing/2014/main" id="{7C8E626F-CC7E-4620-AD6D-28773A5E5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943" y="73098932"/>
          <a:ext cx="406349" cy="406349"/>
        </a:xfrm>
        <a:prstGeom prst="rect">
          <a:avLst/>
        </a:prstGeom>
      </xdr:spPr>
    </xdr:pic>
    <xdr:clientData/>
  </xdr:oneCellAnchor>
  <xdr:oneCellAnchor>
    <xdr:from>
      <xdr:col>11</xdr:col>
      <xdr:colOff>1266825</xdr:colOff>
      <xdr:row>433</xdr:row>
      <xdr:rowOff>219075</xdr:rowOff>
    </xdr:from>
    <xdr:ext cx="406349" cy="406349"/>
    <xdr:pic>
      <xdr:nvPicPr>
        <xdr:cNvPr id="127" name="Imagen 126">
          <a:extLst>
            <a:ext uri="{FF2B5EF4-FFF2-40B4-BE49-F238E27FC236}">
              <a16:creationId xmlns:a16="http://schemas.microsoft.com/office/drawing/2014/main" id="{A02FBB4C-D931-4F50-BD08-9A4DCA2D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0" y="74295000"/>
          <a:ext cx="406349" cy="406349"/>
        </a:xfrm>
        <a:prstGeom prst="rect">
          <a:avLst/>
        </a:prstGeom>
      </xdr:spPr>
    </xdr:pic>
    <xdr:clientData/>
  </xdr:oneCellAnchor>
  <xdr:oneCellAnchor>
    <xdr:from>
      <xdr:col>2</xdr:col>
      <xdr:colOff>152400</xdr:colOff>
      <xdr:row>1</xdr:row>
      <xdr:rowOff>304800</xdr:rowOff>
    </xdr:from>
    <xdr:ext cx="5623463" cy="264560"/>
    <xdr:sp macro="" textlink="">
      <xdr:nvSpPr>
        <xdr:cNvPr id="138" name="CuadroTexto 137">
          <a:extLst>
            <a:ext uri="{FF2B5EF4-FFF2-40B4-BE49-F238E27FC236}">
              <a16:creationId xmlns:a16="http://schemas.microsoft.com/office/drawing/2014/main" id="{1446D7CF-3C60-4A7C-B95F-D33E35D5D90C}"/>
            </a:ext>
          </a:extLst>
        </xdr:cNvPr>
        <xdr:cNvSpPr txBox="1"/>
      </xdr:nvSpPr>
      <xdr:spPr>
        <a:xfrm>
          <a:off x="2638425" y="628650"/>
          <a:ext cx="56234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>
              <a:solidFill>
                <a:srgbClr val="A80004"/>
              </a:solidFill>
            </a:rPr>
            <a:t>Los resultados de los encuentros</a:t>
          </a:r>
          <a:r>
            <a:rPr lang="es-ES" sz="1100" baseline="0">
              <a:solidFill>
                <a:srgbClr val="A80004"/>
              </a:solidFill>
            </a:rPr>
            <a:t> de la fase de grupos deben ingresarse aquí</a:t>
          </a:r>
          <a:r>
            <a:rPr lang="es-ES" sz="1100" baseline="0">
              <a:solidFill>
                <a:srgbClr val="A80004"/>
              </a:solidFill>
              <a:effectLst/>
              <a:latin typeface="+mn-lt"/>
              <a:ea typeface="+mn-ea"/>
              <a:cs typeface="+mn-cs"/>
            </a:rPr>
            <a:t>, preferentemente</a:t>
          </a:r>
          <a:r>
            <a:rPr lang="es-ES" sz="1100" baseline="0">
              <a:solidFill>
                <a:srgbClr val="A80004"/>
              </a:solidFill>
            </a:rPr>
            <a:t>.</a:t>
          </a:r>
          <a:endParaRPr lang="es-ES" sz="1100">
            <a:solidFill>
              <a:srgbClr val="A80004"/>
            </a:solidFill>
          </a:endParaRPr>
        </a:p>
      </xdr:txBody>
    </xdr:sp>
    <xdr:clientData/>
  </xdr:oneCellAnchor>
  <xdr:oneCellAnchor>
    <xdr:from>
      <xdr:col>11</xdr:col>
      <xdr:colOff>666750</xdr:colOff>
      <xdr:row>4</xdr:row>
      <xdr:rowOff>0</xdr:rowOff>
    </xdr:from>
    <xdr:ext cx="2099164" cy="233205"/>
    <xdr:sp macro="" textlink="">
      <xdr:nvSpPr>
        <xdr:cNvPr id="139" name="CuadroTexto 138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45044C7-8414-4FA6-9A24-FA9DE566C1EC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oneCellAnchor>
    <xdr:from>
      <xdr:col>2</xdr:col>
      <xdr:colOff>171450</xdr:colOff>
      <xdr:row>0</xdr:row>
      <xdr:rowOff>257175</xdr:rowOff>
    </xdr:from>
    <xdr:ext cx="4652299" cy="405432"/>
    <xdr:sp macro="" textlink="">
      <xdr:nvSpPr>
        <xdr:cNvPr id="140" name="CuadroTexto 139">
          <a:extLst>
            <a:ext uri="{FF2B5EF4-FFF2-40B4-BE49-F238E27FC236}">
              <a16:creationId xmlns:a16="http://schemas.microsoft.com/office/drawing/2014/main" id="{1C22BEB7-9D83-4DAE-9CD9-AA0D48CD9633}"/>
            </a:ext>
          </a:extLst>
        </xdr:cNvPr>
        <xdr:cNvSpPr txBox="1"/>
      </xdr:nvSpPr>
      <xdr:spPr>
        <a:xfrm>
          <a:off x="2657475" y="257175"/>
          <a:ext cx="465229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Ingreso de resultados de la fase de grupos</a:t>
          </a:r>
        </a:p>
      </xdr:txBody>
    </xdr:sp>
    <xdr:clientData/>
  </xdr:oneCellAnchor>
  <xdr:twoCellAnchor editAs="oneCell">
    <xdr:from>
      <xdr:col>0</xdr:col>
      <xdr:colOff>381000</xdr:colOff>
      <xdr:row>0</xdr:row>
      <xdr:rowOff>95250</xdr:rowOff>
    </xdr:from>
    <xdr:to>
      <xdr:col>0</xdr:col>
      <xdr:colOff>2009775</xdr:colOff>
      <xdr:row>3</xdr:row>
      <xdr:rowOff>80751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8F0A46C-6355-4F6F-84DB-CB9267AF2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5250"/>
          <a:ext cx="1628775" cy="957051"/>
        </a:xfrm>
        <a:prstGeom prst="rect">
          <a:avLst/>
        </a:prstGeom>
      </xdr:spPr>
    </xdr:pic>
    <xdr:clientData/>
  </xdr:twoCellAnchor>
  <xdr:twoCellAnchor editAs="oneCell">
    <xdr:from>
      <xdr:col>17</xdr:col>
      <xdr:colOff>342900</xdr:colOff>
      <xdr:row>0</xdr:row>
      <xdr:rowOff>66675</xdr:rowOff>
    </xdr:from>
    <xdr:to>
      <xdr:col>19</xdr:col>
      <xdr:colOff>222900</xdr:colOff>
      <xdr:row>1</xdr:row>
      <xdr:rowOff>12072</xdr:rowOff>
    </xdr:to>
    <xdr:pic>
      <xdr:nvPicPr>
        <xdr:cNvPr id="144" name="Imagen 143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E8F8DDB-00D6-499F-B136-4F4FAFD95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66675"/>
          <a:ext cx="1404000" cy="269247"/>
        </a:xfrm>
        <a:prstGeom prst="rect">
          <a:avLst/>
        </a:prstGeom>
      </xdr:spPr>
    </xdr:pic>
    <xdr:clientData/>
  </xdr:twoCellAnchor>
  <xdr:twoCellAnchor editAs="oneCell">
    <xdr:from>
      <xdr:col>11</xdr:col>
      <xdr:colOff>1266825</xdr:colOff>
      <xdr:row>13</xdr:row>
      <xdr:rowOff>219075</xdr:rowOff>
    </xdr:from>
    <xdr:to>
      <xdr:col>12</xdr:col>
      <xdr:colOff>396824</xdr:colOff>
      <xdr:row>15</xdr:row>
      <xdr:rowOff>72974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91874C0-B1FE-EFD2-2BCF-25150E64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2981325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11</xdr:col>
      <xdr:colOff>1266825</xdr:colOff>
      <xdr:row>19</xdr:row>
      <xdr:rowOff>219075</xdr:rowOff>
    </xdr:from>
    <xdr:to>
      <xdr:col>12</xdr:col>
      <xdr:colOff>396824</xdr:colOff>
      <xdr:row>21</xdr:row>
      <xdr:rowOff>72974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89AA84A-070F-DC4B-7B01-5E3063FDB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4371975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49</xdr:row>
      <xdr:rowOff>219075</xdr:rowOff>
    </xdr:from>
    <xdr:to>
      <xdr:col>12</xdr:col>
      <xdr:colOff>406349</xdr:colOff>
      <xdr:row>51</xdr:row>
      <xdr:rowOff>72974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E6E7F38-D033-BEF5-1753-82C194599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9896475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73</xdr:row>
      <xdr:rowOff>180975</xdr:rowOff>
    </xdr:from>
    <xdr:to>
      <xdr:col>4</xdr:col>
      <xdr:colOff>406349</xdr:colOff>
      <xdr:row>75</xdr:row>
      <xdr:rowOff>120599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6EF22BD-5FD8-CE99-21E7-18BA93BEF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1975" y="13439775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127</xdr:row>
      <xdr:rowOff>209550</xdr:rowOff>
    </xdr:from>
    <xdr:to>
      <xdr:col>12</xdr:col>
      <xdr:colOff>406349</xdr:colOff>
      <xdr:row>129</xdr:row>
      <xdr:rowOff>63449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2678FA6-5A11-4F40-A084-D5D09ADD7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23031450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151</xdr:row>
      <xdr:rowOff>219075</xdr:rowOff>
    </xdr:from>
    <xdr:to>
      <xdr:col>5</xdr:col>
      <xdr:colOff>15824</xdr:colOff>
      <xdr:row>153</xdr:row>
      <xdr:rowOff>72974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F2E5B81-6E74-027C-C6E6-7186B26D2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7165300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193</xdr:row>
      <xdr:rowOff>219075</xdr:rowOff>
    </xdr:from>
    <xdr:to>
      <xdr:col>4</xdr:col>
      <xdr:colOff>406349</xdr:colOff>
      <xdr:row>195</xdr:row>
      <xdr:rowOff>72974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20991651-C1CC-9A20-FDFA-6FB7DEF45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34518600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199</xdr:row>
      <xdr:rowOff>219075</xdr:rowOff>
    </xdr:from>
    <xdr:to>
      <xdr:col>12</xdr:col>
      <xdr:colOff>406349</xdr:colOff>
      <xdr:row>201</xdr:row>
      <xdr:rowOff>72974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2AEDC3EE-4788-F3EB-3587-41B57D65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35433000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289</xdr:row>
      <xdr:rowOff>219075</xdr:rowOff>
    </xdr:from>
    <xdr:to>
      <xdr:col>12</xdr:col>
      <xdr:colOff>406349</xdr:colOff>
      <xdr:row>291</xdr:row>
      <xdr:rowOff>72974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A66EE522-0776-FCF7-0569-510F20CD5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50577750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</xdr:row>
      <xdr:rowOff>219075</xdr:rowOff>
    </xdr:from>
    <xdr:to>
      <xdr:col>4</xdr:col>
      <xdr:colOff>406349</xdr:colOff>
      <xdr:row>303</xdr:row>
      <xdr:rowOff>72974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93F6FCA-D371-D208-888E-068CEDBED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52882800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319</xdr:row>
      <xdr:rowOff>219075</xdr:rowOff>
    </xdr:from>
    <xdr:to>
      <xdr:col>4</xdr:col>
      <xdr:colOff>406349</xdr:colOff>
      <xdr:row>321</xdr:row>
      <xdr:rowOff>72974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78F5D3C-30B6-39A8-2AF4-D648C4C6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55626000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343</xdr:row>
      <xdr:rowOff>209550</xdr:rowOff>
    </xdr:from>
    <xdr:to>
      <xdr:col>12</xdr:col>
      <xdr:colOff>406349</xdr:colOff>
      <xdr:row>345</xdr:row>
      <xdr:rowOff>63449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0914664-39A7-34AD-A1E1-E7E3999A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59750325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355</xdr:row>
      <xdr:rowOff>209550</xdr:rowOff>
    </xdr:from>
    <xdr:to>
      <xdr:col>4</xdr:col>
      <xdr:colOff>406349</xdr:colOff>
      <xdr:row>357</xdr:row>
      <xdr:rowOff>63449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6433DA4-71C4-2D29-6D07-114C53769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61579125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421</xdr:row>
      <xdr:rowOff>209550</xdr:rowOff>
    </xdr:from>
    <xdr:to>
      <xdr:col>4</xdr:col>
      <xdr:colOff>406349</xdr:colOff>
      <xdr:row>423</xdr:row>
      <xdr:rowOff>63449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8EF8AE60-4A56-5088-E7A8-9CB9BFC0D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2590025"/>
          <a:ext cx="406349" cy="4063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157</xdr:row>
      <xdr:rowOff>209550</xdr:rowOff>
    </xdr:from>
    <xdr:to>
      <xdr:col>12</xdr:col>
      <xdr:colOff>406349</xdr:colOff>
      <xdr:row>159</xdr:row>
      <xdr:rowOff>63449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2245562-C560-3A29-7A58-B3746B48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28070175"/>
          <a:ext cx="406349" cy="406349"/>
        </a:xfrm>
        <a:prstGeom prst="rect">
          <a:avLst/>
        </a:prstGeom>
      </xdr:spPr>
    </xdr:pic>
    <xdr:clientData/>
  </xdr:twoCellAnchor>
  <xdr:oneCellAnchor>
    <xdr:from>
      <xdr:col>2</xdr:col>
      <xdr:colOff>142875</xdr:colOff>
      <xdr:row>2</xdr:row>
      <xdr:rowOff>19050</xdr:rowOff>
    </xdr:from>
    <xdr:ext cx="5897577" cy="264560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DA9676FF-FE5D-46D8-988B-21511AC30DF9}"/>
            </a:ext>
          </a:extLst>
        </xdr:cNvPr>
        <xdr:cNvSpPr txBox="1"/>
      </xdr:nvSpPr>
      <xdr:spPr>
        <a:xfrm>
          <a:off x="2628900" y="790575"/>
          <a:ext cx="58975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 baseline="0">
              <a:solidFill>
                <a:srgbClr val="A80004"/>
              </a:solidFill>
            </a:rPr>
            <a:t>Pueden ingresarse directamente en las hojas de cada grupo, pero perderán el vínculo con esta hoja.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4</xdr:col>
      <xdr:colOff>0</xdr:colOff>
      <xdr:row>109</xdr:row>
      <xdr:rowOff>219075</xdr:rowOff>
    </xdr:from>
    <xdr:to>
      <xdr:col>5</xdr:col>
      <xdr:colOff>47625</xdr:colOff>
      <xdr:row>111</xdr:row>
      <xdr:rowOff>123825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B3B478A4-B029-4702-FB2F-F8D6194A0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982152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253</xdr:row>
      <xdr:rowOff>219075</xdr:rowOff>
    </xdr:from>
    <xdr:to>
      <xdr:col>13</xdr:col>
      <xdr:colOff>47625</xdr:colOff>
      <xdr:row>255</xdr:row>
      <xdr:rowOff>123825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B804255-E65A-C58C-972A-4F1EAA3B5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4461510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373</xdr:row>
      <xdr:rowOff>209550</xdr:rowOff>
    </xdr:from>
    <xdr:to>
      <xdr:col>13</xdr:col>
      <xdr:colOff>47625</xdr:colOff>
      <xdr:row>375</xdr:row>
      <xdr:rowOff>114300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9705F163-1FD1-AD01-3EB2-08F26270F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64798575"/>
          <a:ext cx="457200" cy="457200"/>
        </a:xfrm>
        <a:prstGeom prst="rect">
          <a:avLst/>
        </a:prstGeom>
      </xdr:spPr>
    </xdr:pic>
    <xdr:clientData/>
  </xdr:twoCellAnchor>
  <xdr:oneCellAnchor>
    <xdr:from>
      <xdr:col>11</xdr:col>
      <xdr:colOff>1019175</xdr:colOff>
      <xdr:row>6</xdr:row>
      <xdr:rowOff>9525</xdr:rowOff>
    </xdr:from>
    <xdr:ext cx="847725" cy="264560"/>
    <xdr:sp macro="" textlink="">
      <xdr:nvSpPr>
        <xdr:cNvPr id="128" name="CuadroTexto 127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E15C1F53-7A49-1F41-262F-A205D0A20C1D}"/>
            </a:ext>
          </a:extLst>
        </xdr:cNvPr>
        <xdr:cNvSpPr txBox="1"/>
      </xdr:nvSpPr>
      <xdr:spPr>
        <a:xfrm>
          <a:off x="4562475" y="18002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A</a:t>
          </a:r>
        </a:p>
      </xdr:txBody>
    </xdr:sp>
    <xdr:clientData/>
  </xdr:oneCellAnchor>
  <xdr:oneCellAnchor>
    <xdr:from>
      <xdr:col>11</xdr:col>
      <xdr:colOff>1019175</xdr:colOff>
      <xdr:row>12</xdr:row>
      <xdr:rowOff>9525</xdr:rowOff>
    </xdr:from>
    <xdr:ext cx="847725" cy="264560"/>
    <xdr:sp macro="" textlink="">
      <xdr:nvSpPr>
        <xdr:cNvPr id="130" name="CuadroTexto 129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4EAFFD3F-124F-4462-D6F9-56E09063AC5C}"/>
            </a:ext>
          </a:extLst>
        </xdr:cNvPr>
        <xdr:cNvSpPr txBox="1"/>
      </xdr:nvSpPr>
      <xdr:spPr>
        <a:xfrm>
          <a:off x="4562475" y="2990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A</a:t>
          </a:r>
        </a:p>
      </xdr:txBody>
    </xdr:sp>
    <xdr:clientData/>
  </xdr:oneCellAnchor>
  <xdr:oneCellAnchor>
    <xdr:from>
      <xdr:col>11</xdr:col>
      <xdr:colOff>1009650</xdr:colOff>
      <xdr:row>150</xdr:row>
      <xdr:rowOff>9525</xdr:rowOff>
    </xdr:from>
    <xdr:ext cx="847725" cy="264560"/>
    <xdr:sp macro="" textlink="">
      <xdr:nvSpPr>
        <xdr:cNvPr id="132" name="CuadroTexto 131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81AA2A7B-9956-F47C-5E3D-9B70177FADE2}"/>
            </a:ext>
          </a:extLst>
        </xdr:cNvPr>
        <xdr:cNvSpPr txBox="1"/>
      </xdr:nvSpPr>
      <xdr:spPr>
        <a:xfrm>
          <a:off x="4552950" y="302133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A</a:t>
          </a:r>
        </a:p>
      </xdr:txBody>
    </xdr:sp>
    <xdr:clientData/>
  </xdr:oneCellAnchor>
  <xdr:oneCellAnchor>
    <xdr:from>
      <xdr:col>11</xdr:col>
      <xdr:colOff>1019175</xdr:colOff>
      <xdr:row>168</xdr:row>
      <xdr:rowOff>9525</xdr:rowOff>
    </xdr:from>
    <xdr:ext cx="847725" cy="264560"/>
    <xdr:sp macro="" textlink="">
      <xdr:nvSpPr>
        <xdr:cNvPr id="136" name="CuadroTexto 135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E7A1752E-32A3-C83D-1394-B85301A4136A}"/>
            </a:ext>
          </a:extLst>
        </xdr:cNvPr>
        <xdr:cNvSpPr txBox="1"/>
      </xdr:nvSpPr>
      <xdr:spPr>
        <a:xfrm>
          <a:off x="4562475" y="337851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A</a:t>
          </a:r>
        </a:p>
      </xdr:txBody>
    </xdr:sp>
    <xdr:clientData/>
  </xdr:oneCellAnchor>
  <xdr:oneCellAnchor>
    <xdr:from>
      <xdr:col>11</xdr:col>
      <xdr:colOff>1019175</xdr:colOff>
      <xdr:row>18</xdr:row>
      <xdr:rowOff>9525</xdr:rowOff>
    </xdr:from>
    <xdr:ext cx="847725" cy="264560"/>
    <xdr:sp macro="" textlink="">
      <xdr:nvSpPr>
        <xdr:cNvPr id="145" name="CuadroTexto 14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72257BA4-5344-E51C-3EBC-EC7B63A2EA1B}"/>
            </a:ext>
          </a:extLst>
        </xdr:cNvPr>
        <xdr:cNvSpPr txBox="1"/>
      </xdr:nvSpPr>
      <xdr:spPr>
        <a:xfrm>
          <a:off x="4562475" y="41814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B</a:t>
          </a:r>
        </a:p>
      </xdr:txBody>
    </xdr:sp>
    <xdr:clientData/>
  </xdr:oneCellAnchor>
  <xdr:oneCellAnchor>
    <xdr:from>
      <xdr:col>11</xdr:col>
      <xdr:colOff>1019175</xdr:colOff>
      <xdr:row>318</xdr:row>
      <xdr:rowOff>9525</xdr:rowOff>
    </xdr:from>
    <xdr:ext cx="847725" cy="264560"/>
    <xdr:sp macro="" textlink="">
      <xdr:nvSpPr>
        <xdr:cNvPr id="149" name="CuadroTexto 148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8EF5A505-B98A-9E07-23A8-6C53465CBA38}"/>
            </a:ext>
          </a:extLst>
        </xdr:cNvPr>
        <xdr:cNvSpPr txBox="1"/>
      </xdr:nvSpPr>
      <xdr:spPr>
        <a:xfrm>
          <a:off x="4562475" y="635508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A</a:t>
          </a:r>
        </a:p>
      </xdr:txBody>
    </xdr:sp>
    <xdr:clientData/>
  </xdr:oneCellAnchor>
  <xdr:oneCellAnchor>
    <xdr:from>
      <xdr:col>11</xdr:col>
      <xdr:colOff>1019175</xdr:colOff>
      <xdr:row>324</xdr:row>
      <xdr:rowOff>9525</xdr:rowOff>
    </xdr:from>
    <xdr:ext cx="847725" cy="264560"/>
    <xdr:sp macro="" textlink="">
      <xdr:nvSpPr>
        <xdr:cNvPr id="151" name="CuadroTexto 150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318CE67C-EF8B-9D72-8052-BCB48F9D3E42}"/>
            </a:ext>
          </a:extLst>
        </xdr:cNvPr>
        <xdr:cNvSpPr txBox="1"/>
      </xdr:nvSpPr>
      <xdr:spPr>
        <a:xfrm>
          <a:off x="4562475" y="647414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A</a:t>
          </a:r>
        </a:p>
      </xdr:txBody>
    </xdr:sp>
    <xdr:clientData/>
  </xdr:oneCellAnchor>
  <xdr:oneCellAnchor>
    <xdr:from>
      <xdr:col>11</xdr:col>
      <xdr:colOff>1009650</xdr:colOff>
      <xdr:row>36</xdr:row>
      <xdr:rowOff>9525</xdr:rowOff>
    </xdr:from>
    <xdr:ext cx="847725" cy="264560"/>
    <xdr:sp macro="" textlink="">
      <xdr:nvSpPr>
        <xdr:cNvPr id="153" name="CuadroTexto 152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8C574710-FA6B-EAD2-A8D8-F3A5CD3F9803}"/>
            </a:ext>
          </a:extLst>
        </xdr:cNvPr>
        <xdr:cNvSpPr txBox="1"/>
      </xdr:nvSpPr>
      <xdr:spPr>
        <a:xfrm>
          <a:off x="4552950" y="76295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C</a:t>
          </a:r>
        </a:p>
      </xdr:txBody>
    </xdr:sp>
    <xdr:clientData/>
  </xdr:oneCellAnchor>
  <xdr:oneCellAnchor>
    <xdr:from>
      <xdr:col>11</xdr:col>
      <xdr:colOff>1028700</xdr:colOff>
      <xdr:row>24</xdr:row>
      <xdr:rowOff>9525</xdr:rowOff>
    </xdr:from>
    <xdr:ext cx="847725" cy="264560"/>
    <xdr:sp macro="" textlink="">
      <xdr:nvSpPr>
        <xdr:cNvPr id="155" name="CuadroTexto 15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BE7BA8C7-44E2-0CE2-87ED-878C39DEB941}"/>
            </a:ext>
          </a:extLst>
        </xdr:cNvPr>
        <xdr:cNvSpPr txBox="1"/>
      </xdr:nvSpPr>
      <xdr:spPr>
        <a:xfrm>
          <a:off x="4572000" y="52482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D</a:t>
          </a:r>
        </a:p>
      </xdr:txBody>
    </xdr:sp>
    <xdr:clientData/>
  </xdr:oneCellAnchor>
  <xdr:oneCellAnchor>
    <xdr:from>
      <xdr:col>11</xdr:col>
      <xdr:colOff>1019175</xdr:colOff>
      <xdr:row>54</xdr:row>
      <xdr:rowOff>9525</xdr:rowOff>
    </xdr:from>
    <xdr:ext cx="847725" cy="264560"/>
    <xdr:sp macro="" textlink="">
      <xdr:nvSpPr>
        <xdr:cNvPr id="157" name="CuadroTexto 156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12A9E808-469F-EA03-2400-C7A27C901741}"/>
            </a:ext>
          </a:extLst>
        </xdr:cNvPr>
        <xdr:cNvSpPr txBox="1"/>
      </xdr:nvSpPr>
      <xdr:spPr>
        <a:xfrm>
          <a:off x="4562475" y="112014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E</a:t>
          </a:r>
        </a:p>
      </xdr:txBody>
    </xdr:sp>
    <xdr:clientData/>
  </xdr:oneCellAnchor>
  <xdr:oneCellAnchor>
    <xdr:from>
      <xdr:col>11</xdr:col>
      <xdr:colOff>1019175</xdr:colOff>
      <xdr:row>60</xdr:row>
      <xdr:rowOff>9525</xdr:rowOff>
    </xdr:from>
    <xdr:ext cx="847725" cy="264560"/>
    <xdr:sp macro="" textlink="">
      <xdr:nvSpPr>
        <xdr:cNvPr id="159" name="CuadroTexto 15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A3C7E09-1D54-9973-EFCA-77B5F60D40B4}"/>
            </a:ext>
          </a:extLst>
        </xdr:cNvPr>
        <xdr:cNvSpPr txBox="1"/>
      </xdr:nvSpPr>
      <xdr:spPr>
        <a:xfrm>
          <a:off x="4562475" y="123920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F</a:t>
          </a:r>
        </a:p>
      </xdr:txBody>
    </xdr:sp>
    <xdr:clientData/>
  </xdr:oneCellAnchor>
  <xdr:oneCellAnchor>
    <xdr:from>
      <xdr:col>11</xdr:col>
      <xdr:colOff>1019175</xdr:colOff>
      <xdr:row>84</xdr:row>
      <xdr:rowOff>9525</xdr:rowOff>
    </xdr:from>
    <xdr:ext cx="847725" cy="264560"/>
    <xdr:sp macro="" textlink="">
      <xdr:nvSpPr>
        <xdr:cNvPr id="161" name="CuadroTexto 160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F4CC9952-1304-EE9B-9C3D-3B7378DE19EF}"/>
            </a:ext>
          </a:extLst>
        </xdr:cNvPr>
        <xdr:cNvSpPr txBox="1"/>
      </xdr:nvSpPr>
      <xdr:spPr>
        <a:xfrm>
          <a:off x="4562475" y="169926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G</a:t>
          </a:r>
        </a:p>
      </xdr:txBody>
    </xdr:sp>
    <xdr:clientData/>
  </xdr:oneCellAnchor>
  <xdr:oneCellAnchor>
    <xdr:from>
      <xdr:col>11</xdr:col>
      <xdr:colOff>1028700</xdr:colOff>
      <xdr:row>78</xdr:row>
      <xdr:rowOff>9525</xdr:rowOff>
    </xdr:from>
    <xdr:ext cx="847725" cy="264560"/>
    <xdr:sp macro="" textlink="">
      <xdr:nvSpPr>
        <xdr:cNvPr id="164" name="CuadroTexto 163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F2FAFF61-8790-1250-030A-0E5D776C3758}"/>
            </a:ext>
          </a:extLst>
        </xdr:cNvPr>
        <xdr:cNvSpPr txBox="1"/>
      </xdr:nvSpPr>
      <xdr:spPr>
        <a:xfrm>
          <a:off x="4572000" y="158019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H</a:t>
          </a:r>
        </a:p>
      </xdr:txBody>
    </xdr:sp>
    <xdr:clientData/>
  </xdr:oneCellAnchor>
  <xdr:oneCellAnchor>
    <xdr:from>
      <xdr:col>11</xdr:col>
      <xdr:colOff>1019175</xdr:colOff>
      <xdr:row>30</xdr:row>
      <xdr:rowOff>9525</xdr:rowOff>
    </xdr:from>
    <xdr:ext cx="847725" cy="264560"/>
    <xdr:sp macro="" textlink="">
      <xdr:nvSpPr>
        <xdr:cNvPr id="167" name="CuadroTexto 166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3248B5C1-2384-4642-B20A-C583B015AA20}"/>
            </a:ext>
          </a:extLst>
        </xdr:cNvPr>
        <xdr:cNvSpPr txBox="1"/>
      </xdr:nvSpPr>
      <xdr:spPr>
        <a:xfrm>
          <a:off x="4562475" y="65627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B</a:t>
          </a:r>
        </a:p>
      </xdr:txBody>
    </xdr:sp>
    <xdr:clientData/>
  </xdr:oneCellAnchor>
  <xdr:oneCellAnchor>
    <xdr:from>
      <xdr:col>11</xdr:col>
      <xdr:colOff>1019175</xdr:colOff>
      <xdr:row>156</xdr:row>
      <xdr:rowOff>9525</xdr:rowOff>
    </xdr:from>
    <xdr:ext cx="847725" cy="264560"/>
    <xdr:sp macro="" textlink="">
      <xdr:nvSpPr>
        <xdr:cNvPr id="168" name="CuadroTexto 167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5C3335BC-3F56-4B72-B020-E3CB284FAC89}"/>
            </a:ext>
          </a:extLst>
        </xdr:cNvPr>
        <xdr:cNvSpPr txBox="1"/>
      </xdr:nvSpPr>
      <xdr:spPr>
        <a:xfrm>
          <a:off x="4562475" y="314039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B</a:t>
          </a:r>
        </a:p>
      </xdr:txBody>
    </xdr:sp>
    <xdr:clientData/>
  </xdr:oneCellAnchor>
  <xdr:oneCellAnchor>
    <xdr:from>
      <xdr:col>11</xdr:col>
      <xdr:colOff>1009650</xdr:colOff>
      <xdr:row>162</xdr:row>
      <xdr:rowOff>9525</xdr:rowOff>
    </xdr:from>
    <xdr:ext cx="847725" cy="264560"/>
    <xdr:sp macro="" textlink="">
      <xdr:nvSpPr>
        <xdr:cNvPr id="169" name="CuadroTexto 168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D7B65425-70BC-2C74-C736-A6E74F0BA602}"/>
            </a:ext>
          </a:extLst>
        </xdr:cNvPr>
        <xdr:cNvSpPr txBox="1"/>
      </xdr:nvSpPr>
      <xdr:spPr>
        <a:xfrm>
          <a:off x="4552950" y="325945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B</a:t>
          </a:r>
        </a:p>
      </xdr:txBody>
    </xdr:sp>
    <xdr:clientData/>
  </xdr:oneCellAnchor>
  <xdr:oneCellAnchor>
    <xdr:from>
      <xdr:col>11</xdr:col>
      <xdr:colOff>1028700</xdr:colOff>
      <xdr:row>294</xdr:row>
      <xdr:rowOff>9525</xdr:rowOff>
    </xdr:from>
    <xdr:ext cx="847725" cy="264560"/>
    <xdr:sp macro="" textlink="">
      <xdr:nvSpPr>
        <xdr:cNvPr id="170" name="CuadroTexto 169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D7292D63-9CA0-BD8A-844F-DF8E0AE62614}"/>
            </a:ext>
          </a:extLst>
        </xdr:cNvPr>
        <xdr:cNvSpPr txBox="1"/>
      </xdr:nvSpPr>
      <xdr:spPr>
        <a:xfrm>
          <a:off x="4572000" y="587883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B</a:t>
          </a:r>
        </a:p>
      </xdr:txBody>
    </xdr:sp>
    <xdr:clientData/>
  </xdr:oneCellAnchor>
  <xdr:oneCellAnchor>
    <xdr:from>
      <xdr:col>11</xdr:col>
      <xdr:colOff>1019175</xdr:colOff>
      <xdr:row>300</xdr:row>
      <xdr:rowOff>9525</xdr:rowOff>
    </xdr:from>
    <xdr:ext cx="847725" cy="264560"/>
    <xdr:sp macro="" textlink="">
      <xdr:nvSpPr>
        <xdr:cNvPr id="171" name="CuadroTexto 170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EC0785AF-09F2-6D08-8FC3-C32D40E15FEE}"/>
            </a:ext>
          </a:extLst>
        </xdr:cNvPr>
        <xdr:cNvSpPr txBox="1"/>
      </xdr:nvSpPr>
      <xdr:spPr>
        <a:xfrm>
          <a:off x="4562475" y="599789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B</a:t>
          </a:r>
        </a:p>
      </xdr:txBody>
    </xdr:sp>
    <xdr:clientData/>
  </xdr:oneCellAnchor>
  <xdr:oneCellAnchor>
    <xdr:from>
      <xdr:col>11</xdr:col>
      <xdr:colOff>1019175</xdr:colOff>
      <xdr:row>180</xdr:row>
      <xdr:rowOff>9525</xdr:rowOff>
    </xdr:from>
    <xdr:ext cx="847725" cy="264560"/>
    <xdr:sp macro="" textlink="">
      <xdr:nvSpPr>
        <xdr:cNvPr id="176" name="CuadroTexto 175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CF6D11C5-6B65-B82F-F3A3-FB255EFC2281}"/>
            </a:ext>
          </a:extLst>
        </xdr:cNvPr>
        <xdr:cNvSpPr txBox="1"/>
      </xdr:nvSpPr>
      <xdr:spPr>
        <a:xfrm>
          <a:off x="4562475" y="360426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C</a:t>
          </a:r>
        </a:p>
      </xdr:txBody>
    </xdr:sp>
    <xdr:clientData/>
  </xdr:oneCellAnchor>
  <xdr:oneCellAnchor>
    <xdr:from>
      <xdr:col>11</xdr:col>
      <xdr:colOff>1019175</xdr:colOff>
      <xdr:row>186</xdr:row>
      <xdr:rowOff>9525</xdr:rowOff>
    </xdr:from>
    <xdr:ext cx="847725" cy="264560"/>
    <xdr:sp macro="" textlink="">
      <xdr:nvSpPr>
        <xdr:cNvPr id="177" name="CuadroTexto 176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5AC0B744-AD19-45F7-2EBE-1030A0ABF72E}"/>
            </a:ext>
          </a:extLst>
        </xdr:cNvPr>
        <xdr:cNvSpPr txBox="1"/>
      </xdr:nvSpPr>
      <xdr:spPr>
        <a:xfrm>
          <a:off x="4562475" y="372332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C</a:t>
          </a:r>
        </a:p>
      </xdr:txBody>
    </xdr:sp>
    <xdr:clientData/>
  </xdr:oneCellAnchor>
  <xdr:oneCellAnchor>
    <xdr:from>
      <xdr:col>11</xdr:col>
      <xdr:colOff>1019175</xdr:colOff>
      <xdr:row>306</xdr:row>
      <xdr:rowOff>9525</xdr:rowOff>
    </xdr:from>
    <xdr:ext cx="847725" cy="264560"/>
    <xdr:sp macro="" textlink="">
      <xdr:nvSpPr>
        <xdr:cNvPr id="178" name="CuadroTexto 177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481574C-0CED-9D8A-1739-120DC71B17C3}"/>
            </a:ext>
          </a:extLst>
        </xdr:cNvPr>
        <xdr:cNvSpPr txBox="1"/>
      </xdr:nvSpPr>
      <xdr:spPr>
        <a:xfrm>
          <a:off x="4562475" y="610457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C</a:t>
          </a:r>
        </a:p>
      </xdr:txBody>
    </xdr:sp>
    <xdr:clientData/>
  </xdr:oneCellAnchor>
  <xdr:oneCellAnchor>
    <xdr:from>
      <xdr:col>11</xdr:col>
      <xdr:colOff>1019175</xdr:colOff>
      <xdr:row>312</xdr:row>
      <xdr:rowOff>9525</xdr:rowOff>
    </xdr:from>
    <xdr:ext cx="847725" cy="264560"/>
    <xdr:sp macro="" textlink="">
      <xdr:nvSpPr>
        <xdr:cNvPr id="179" name="CuadroTexto 178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E51ABC1C-016D-56CF-AD95-A77B0EBD4FB5}"/>
            </a:ext>
          </a:extLst>
        </xdr:cNvPr>
        <xdr:cNvSpPr txBox="1"/>
      </xdr:nvSpPr>
      <xdr:spPr>
        <a:xfrm>
          <a:off x="4562475" y="622363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C</a:t>
          </a:r>
        </a:p>
      </xdr:txBody>
    </xdr:sp>
    <xdr:clientData/>
  </xdr:oneCellAnchor>
  <xdr:oneCellAnchor>
    <xdr:from>
      <xdr:col>11</xdr:col>
      <xdr:colOff>1019175</xdr:colOff>
      <xdr:row>48</xdr:row>
      <xdr:rowOff>9525</xdr:rowOff>
    </xdr:from>
    <xdr:ext cx="847725" cy="264560"/>
    <xdr:sp macro="" textlink="">
      <xdr:nvSpPr>
        <xdr:cNvPr id="180" name="CuadroTexto 179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B5B1FCD5-B1F9-302C-F003-1934DF591868}"/>
            </a:ext>
          </a:extLst>
        </xdr:cNvPr>
        <xdr:cNvSpPr txBox="1"/>
      </xdr:nvSpPr>
      <xdr:spPr>
        <a:xfrm>
          <a:off x="4562475" y="100107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D</a:t>
          </a:r>
        </a:p>
      </xdr:txBody>
    </xdr:sp>
    <xdr:clientData/>
  </xdr:oneCellAnchor>
  <xdr:oneCellAnchor>
    <xdr:from>
      <xdr:col>11</xdr:col>
      <xdr:colOff>1019175</xdr:colOff>
      <xdr:row>42</xdr:row>
      <xdr:rowOff>9525</xdr:rowOff>
    </xdr:from>
    <xdr:ext cx="847725" cy="264560"/>
    <xdr:sp macro="" textlink="">
      <xdr:nvSpPr>
        <xdr:cNvPr id="181" name="CuadroTexto 180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3CE63A0-DFCF-1A1C-8192-B8D60F5B23D4}"/>
            </a:ext>
          </a:extLst>
        </xdr:cNvPr>
        <xdr:cNvSpPr txBox="1"/>
      </xdr:nvSpPr>
      <xdr:spPr>
        <a:xfrm>
          <a:off x="4562475" y="88201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C</a:t>
          </a:r>
        </a:p>
      </xdr:txBody>
    </xdr:sp>
    <xdr:clientData/>
  </xdr:oneCellAnchor>
  <xdr:oneCellAnchor>
    <xdr:from>
      <xdr:col>11</xdr:col>
      <xdr:colOff>1019175</xdr:colOff>
      <xdr:row>174</xdr:row>
      <xdr:rowOff>9525</xdr:rowOff>
    </xdr:from>
    <xdr:ext cx="847725" cy="264560"/>
    <xdr:sp macro="" textlink="">
      <xdr:nvSpPr>
        <xdr:cNvPr id="182" name="CuadroTexto 18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15F1009A-E762-6BA2-6869-C3A792A2B704}"/>
            </a:ext>
          </a:extLst>
        </xdr:cNvPr>
        <xdr:cNvSpPr txBox="1"/>
      </xdr:nvSpPr>
      <xdr:spPr>
        <a:xfrm>
          <a:off x="4562475" y="348519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D</a:t>
          </a:r>
        </a:p>
      </xdr:txBody>
    </xdr:sp>
    <xdr:clientData/>
  </xdr:oneCellAnchor>
  <xdr:oneCellAnchor>
    <xdr:from>
      <xdr:col>11</xdr:col>
      <xdr:colOff>1019175</xdr:colOff>
      <xdr:row>192</xdr:row>
      <xdr:rowOff>9525</xdr:rowOff>
    </xdr:from>
    <xdr:ext cx="847725" cy="264560"/>
    <xdr:sp macro="" textlink="">
      <xdr:nvSpPr>
        <xdr:cNvPr id="183" name="CuadroTexto 182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B39B588E-4172-95A1-13F6-4A192F2A0C60}"/>
            </a:ext>
          </a:extLst>
        </xdr:cNvPr>
        <xdr:cNvSpPr txBox="1"/>
      </xdr:nvSpPr>
      <xdr:spPr>
        <a:xfrm>
          <a:off x="4562475" y="38423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D</a:t>
          </a:r>
        </a:p>
      </xdr:txBody>
    </xdr:sp>
    <xdr:clientData/>
  </xdr:oneCellAnchor>
  <xdr:oneCellAnchor>
    <xdr:from>
      <xdr:col>11</xdr:col>
      <xdr:colOff>1028700</xdr:colOff>
      <xdr:row>354</xdr:row>
      <xdr:rowOff>9525</xdr:rowOff>
    </xdr:from>
    <xdr:ext cx="847725" cy="264560"/>
    <xdr:sp macro="" textlink="">
      <xdr:nvSpPr>
        <xdr:cNvPr id="184" name="CuadroTexto 183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75C8494F-C4DF-75FA-2322-8B90C9AAABAF}"/>
            </a:ext>
          </a:extLst>
        </xdr:cNvPr>
        <xdr:cNvSpPr txBox="1"/>
      </xdr:nvSpPr>
      <xdr:spPr>
        <a:xfrm>
          <a:off x="4572000" y="705707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D</a:t>
          </a:r>
        </a:p>
      </xdr:txBody>
    </xdr:sp>
    <xdr:clientData/>
  </xdr:oneCellAnchor>
  <xdr:oneCellAnchor>
    <xdr:from>
      <xdr:col>11</xdr:col>
      <xdr:colOff>1019175</xdr:colOff>
      <xdr:row>360</xdr:row>
      <xdr:rowOff>9525</xdr:rowOff>
    </xdr:from>
    <xdr:ext cx="847725" cy="264560"/>
    <xdr:sp macro="" textlink="">
      <xdr:nvSpPr>
        <xdr:cNvPr id="185" name="CuadroTexto 18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2EC42AF4-BE58-675F-2D10-56B7FE9B0E99}"/>
            </a:ext>
          </a:extLst>
        </xdr:cNvPr>
        <xdr:cNvSpPr txBox="1"/>
      </xdr:nvSpPr>
      <xdr:spPr>
        <a:xfrm>
          <a:off x="4562475" y="717613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D</a:t>
          </a:r>
        </a:p>
      </xdr:txBody>
    </xdr:sp>
    <xdr:clientData/>
  </xdr:oneCellAnchor>
  <xdr:oneCellAnchor>
    <xdr:from>
      <xdr:col>11</xdr:col>
      <xdr:colOff>1019175</xdr:colOff>
      <xdr:row>66</xdr:row>
      <xdr:rowOff>9525</xdr:rowOff>
    </xdr:from>
    <xdr:ext cx="847725" cy="264560"/>
    <xdr:sp macro="" textlink="">
      <xdr:nvSpPr>
        <xdr:cNvPr id="186" name="CuadroTexto 185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4D5E0ECB-15C0-2589-3B95-6BBB931941A0}"/>
            </a:ext>
          </a:extLst>
        </xdr:cNvPr>
        <xdr:cNvSpPr txBox="1"/>
      </xdr:nvSpPr>
      <xdr:spPr>
        <a:xfrm>
          <a:off x="4562475" y="135445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E</a:t>
          </a:r>
        </a:p>
      </xdr:txBody>
    </xdr:sp>
    <xdr:clientData/>
  </xdr:oneCellAnchor>
  <xdr:oneCellAnchor>
    <xdr:from>
      <xdr:col>11</xdr:col>
      <xdr:colOff>1019175</xdr:colOff>
      <xdr:row>204</xdr:row>
      <xdr:rowOff>0</xdr:rowOff>
    </xdr:from>
    <xdr:ext cx="847725" cy="264560"/>
    <xdr:sp macro="" textlink="">
      <xdr:nvSpPr>
        <xdr:cNvPr id="187" name="CuadroTexto 186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D59A254F-A601-ED23-8695-FD14FF867A81}"/>
            </a:ext>
          </a:extLst>
        </xdr:cNvPr>
        <xdr:cNvSpPr txBox="1"/>
      </xdr:nvSpPr>
      <xdr:spPr>
        <a:xfrm>
          <a:off x="4562475" y="407955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E</a:t>
          </a:r>
        </a:p>
      </xdr:txBody>
    </xdr:sp>
    <xdr:clientData/>
  </xdr:oneCellAnchor>
  <xdr:oneCellAnchor>
    <xdr:from>
      <xdr:col>11</xdr:col>
      <xdr:colOff>1019175</xdr:colOff>
      <xdr:row>210</xdr:row>
      <xdr:rowOff>9525</xdr:rowOff>
    </xdr:from>
    <xdr:ext cx="847725" cy="264560"/>
    <xdr:sp macro="" textlink="">
      <xdr:nvSpPr>
        <xdr:cNvPr id="188" name="CuadroTexto 187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1B0CE959-6DC5-03F6-5414-B035E9981F75}"/>
            </a:ext>
          </a:extLst>
        </xdr:cNvPr>
        <xdr:cNvSpPr txBox="1"/>
      </xdr:nvSpPr>
      <xdr:spPr>
        <a:xfrm>
          <a:off x="4562475" y="419957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E</a:t>
          </a:r>
        </a:p>
      </xdr:txBody>
    </xdr:sp>
    <xdr:clientData/>
  </xdr:oneCellAnchor>
  <xdr:oneCellAnchor>
    <xdr:from>
      <xdr:col>11</xdr:col>
      <xdr:colOff>1019175</xdr:colOff>
      <xdr:row>336</xdr:row>
      <xdr:rowOff>9525</xdr:rowOff>
    </xdr:from>
    <xdr:ext cx="847725" cy="264560"/>
    <xdr:sp macro="" textlink="">
      <xdr:nvSpPr>
        <xdr:cNvPr id="191" name="CuadroTexto 190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87A7CBC6-18B5-4C55-93F3-8C03CB845EDD}"/>
            </a:ext>
          </a:extLst>
        </xdr:cNvPr>
        <xdr:cNvSpPr txBox="1"/>
      </xdr:nvSpPr>
      <xdr:spPr>
        <a:xfrm>
          <a:off x="4562475" y="66998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E</a:t>
          </a:r>
        </a:p>
      </xdr:txBody>
    </xdr:sp>
    <xdr:clientData/>
  </xdr:oneCellAnchor>
  <xdr:oneCellAnchor>
    <xdr:from>
      <xdr:col>11</xdr:col>
      <xdr:colOff>1019175</xdr:colOff>
      <xdr:row>330</xdr:row>
      <xdr:rowOff>9525</xdr:rowOff>
    </xdr:from>
    <xdr:ext cx="847725" cy="264560"/>
    <xdr:sp macro="" textlink="">
      <xdr:nvSpPr>
        <xdr:cNvPr id="192" name="CuadroTexto 191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E61A9DE7-F36D-4F60-9CA9-7DB0B98A441C}"/>
            </a:ext>
          </a:extLst>
        </xdr:cNvPr>
        <xdr:cNvSpPr txBox="1"/>
      </xdr:nvSpPr>
      <xdr:spPr>
        <a:xfrm>
          <a:off x="4562475" y="658082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E</a:t>
          </a:r>
        </a:p>
      </xdr:txBody>
    </xdr:sp>
    <xdr:clientData/>
  </xdr:oneCellAnchor>
  <xdr:oneCellAnchor>
    <xdr:from>
      <xdr:col>11</xdr:col>
      <xdr:colOff>1019175</xdr:colOff>
      <xdr:row>72</xdr:row>
      <xdr:rowOff>9525</xdr:rowOff>
    </xdr:from>
    <xdr:ext cx="847725" cy="264560"/>
    <xdr:sp macro="" textlink="">
      <xdr:nvSpPr>
        <xdr:cNvPr id="193" name="CuadroTexto 192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478A99E1-DEBF-48FE-BC7A-0C0C14002960}"/>
            </a:ext>
          </a:extLst>
        </xdr:cNvPr>
        <xdr:cNvSpPr txBox="1"/>
      </xdr:nvSpPr>
      <xdr:spPr>
        <a:xfrm>
          <a:off x="4562475" y="146970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F</a:t>
          </a:r>
        </a:p>
      </xdr:txBody>
    </xdr:sp>
    <xdr:clientData/>
  </xdr:oneCellAnchor>
  <xdr:oneCellAnchor>
    <xdr:from>
      <xdr:col>11</xdr:col>
      <xdr:colOff>1028700</xdr:colOff>
      <xdr:row>198</xdr:row>
      <xdr:rowOff>9525</xdr:rowOff>
    </xdr:from>
    <xdr:ext cx="847725" cy="264560"/>
    <xdr:sp macro="" textlink="">
      <xdr:nvSpPr>
        <xdr:cNvPr id="194" name="CuadroTexto 193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5DD1AFBA-D777-4CA9-888A-DF17D1BD5D23}"/>
            </a:ext>
          </a:extLst>
        </xdr:cNvPr>
        <xdr:cNvSpPr txBox="1"/>
      </xdr:nvSpPr>
      <xdr:spPr>
        <a:xfrm>
          <a:off x="4572000" y="396144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F</a:t>
          </a:r>
        </a:p>
      </xdr:txBody>
    </xdr:sp>
    <xdr:clientData/>
  </xdr:oneCellAnchor>
  <xdr:oneCellAnchor>
    <xdr:from>
      <xdr:col>11</xdr:col>
      <xdr:colOff>1019175</xdr:colOff>
      <xdr:row>216</xdr:row>
      <xdr:rowOff>9525</xdr:rowOff>
    </xdr:from>
    <xdr:ext cx="847725" cy="264560"/>
    <xdr:sp macro="" textlink="">
      <xdr:nvSpPr>
        <xdr:cNvPr id="195" name="CuadroTexto 19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93D2748E-E4B5-43C9-ADD6-55AE297D7327}"/>
            </a:ext>
          </a:extLst>
        </xdr:cNvPr>
        <xdr:cNvSpPr txBox="1"/>
      </xdr:nvSpPr>
      <xdr:spPr>
        <a:xfrm>
          <a:off x="4562475" y="431863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F</a:t>
          </a:r>
        </a:p>
      </xdr:txBody>
    </xdr:sp>
    <xdr:clientData/>
  </xdr:oneCellAnchor>
  <xdr:oneCellAnchor>
    <xdr:from>
      <xdr:col>11</xdr:col>
      <xdr:colOff>1028700</xdr:colOff>
      <xdr:row>342</xdr:row>
      <xdr:rowOff>9525</xdr:rowOff>
    </xdr:from>
    <xdr:ext cx="847725" cy="264560"/>
    <xdr:sp macro="" textlink="">
      <xdr:nvSpPr>
        <xdr:cNvPr id="196" name="CuadroTexto 195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13EEBE7A-DB2D-46D8-8624-0444E279756C}"/>
            </a:ext>
          </a:extLst>
        </xdr:cNvPr>
        <xdr:cNvSpPr txBox="1"/>
      </xdr:nvSpPr>
      <xdr:spPr>
        <a:xfrm>
          <a:off x="4572000" y="681894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F</a:t>
          </a:r>
        </a:p>
      </xdr:txBody>
    </xdr:sp>
    <xdr:clientData/>
  </xdr:oneCellAnchor>
  <xdr:oneCellAnchor>
    <xdr:from>
      <xdr:col>11</xdr:col>
      <xdr:colOff>1019175</xdr:colOff>
      <xdr:row>348</xdr:row>
      <xdr:rowOff>9525</xdr:rowOff>
    </xdr:from>
    <xdr:ext cx="847725" cy="264560"/>
    <xdr:sp macro="" textlink="">
      <xdr:nvSpPr>
        <xdr:cNvPr id="197" name="CuadroTexto 196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E83F5CE8-DDA5-4942-99A2-855FE15B429A}"/>
            </a:ext>
          </a:extLst>
        </xdr:cNvPr>
        <xdr:cNvSpPr txBox="1"/>
      </xdr:nvSpPr>
      <xdr:spPr>
        <a:xfrm>
          <a:off x="4562475" y="693801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F</a:t>
          </a:r>
        </a:p>
      </xdr:txBody>
    </xdr:sp>
    <xdr:clientData/>
  </xdr:oneCellAnchor>
  <xdr:oneCellAnchor>
    <xdr:from>
      <xdr:col>11</xdr:col>
      <xdr:colOff>1019175</xdr:colOff>
      <xdr:row>96</xdr:row>
      <xdr:rowOff>9525</xdr:rowOff>
    </xdr:from>
    <xdr:ext cx="847725" cy="264560"/>
    <xdr:sp macro="" textlink="">
      <xdr:nvSpPr>
        <xdr:cNvPr id="198" name="CuadroTexto 197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35386FC7-0B3F-4CD4-B2D6-667D764DB800}"/>
            </a:ext>
          </a:extLst>
        </xdr:cNvPr>
        <xdr:cNvSpPr txBox="1"/>
      </xdr:nvSpPr>
      <xdr:spPr>
        <a:xfrm>
          <a:off x="4562475" y="19373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G</a:t>
          </a:r>
        </a:p>
      </xdr:txBody>
    </xdr:sp>
    <xdr:clientData/>
  </xdr:oneCellAnchor>
  <xdr:oneCellAnchor>
    <xdr:from>
      <xdr:col>11</xdr:col>
      <xdr:colOff>1019175</xdr:colOff>
      <xdr:row>228</xdr:row>
      <xdr:rowOff>9525</xdr:rowOff>
    </xdr:from>
    <xdr:ext cx="847725" cy="264560"/>
    <xdr:sp macro="" textlink="">
      <xdr:nvSpPr>
        <xdr:cNvPr id="199" name="CuadroTexto 198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EADD93B9-32F0-47B0-B715-57B4E069E969}"/>
            </a:ext>
          </a:extLst>
        </xdr:cNvPr>
        <xdr:cNvSpPr txBox="1"/>
      </xdr:nvSpPr>
      <xdr:spPr>
        <a:xfrm>
          <a:off x="4562475" y="455676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G</a:t>
          </a:r>
        </a:p>
      </xdr:txBody>
    </xdr:sp>
    <xdr:clientData/>
  </xdr:oneCellAnchor>
  <xdr:oneCellAnchor>
    <xdr:from>
      <xdr:col>11</xdr:col>
      <xdr:colOff>1028700</xdr:colOff>
      <xdr:row>240</xdr:row>
      <xdr:rowOff>9525</xdr:rowOff>
    </xdr:from>
    <xdr:ext cx="847725" cy="264560"/>
    <xdr:sp macro="" textlink="">
      <xdr:nvSpPr>
        <xdr:cNvPr id="200" name="CuadroTexto 19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311C17E2-B06F-4D7E-811D-C976A339C1FA}"/>
            </a:ext>
          </a:extLst>
        </xdr:cNvPr>
        <xdr:cNvSpPr txBox="1"/>
      </xdr:nvSpPr>
      <xdr:spPr>
        <a:xfrm>
          <a:off x="4572000" y="47948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G</a:t>
          </a:r>
        </a:p>
      </xdr:txBody>
    </xdr:sp>
    <xdr:clientData/>
  </xdr:oneCellAnchor>
  <xdr:oneCellAnchor>
    <xdr:from>
      <xdr:col>11</xdr:col>
      <xdr:colOff>1019175</xdr:colOff>
      <xdr:row>390</xdr:row>
      <xdr:rowOff>9525</xdr:rowOff>
    </xdr:from>
    <xdr:ext cx="847725" cy="264560"/>
    <xdr:sp macro="" textlink="">
      <xdr:nvSpPr>
        <xdr:cNvPr id="201" name="CuadroTexto 200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6C55BE9D-A3BC-47CC-B1C0-BD458D9C4B0F}"/>
            </a:ext>
          </a:extLst>
        </xdr:cNvPr>
        <xdr:cNvSpPr txBox="1"/>
      </xdr:nvSpPr>
      <xdr:spPr>
        <a:xfrm>
          <a:off x="4562475" y="777144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G</a:t>
          </a:r>
        </a:p>
      </xdr:txBody>
    </xdr:sp>
    <xdr:clientData/>
  </xdr:oneCellAnchor>
  <xdr:oneCellAnchor>
    <xdr:from>
      <xdr:col>11</xdr:col>
      <xdr:colOff>1019175</xdr:colOff>
      <xdr:row>396</xdr:row>
      <xdr:rowOff>9525</xdr:rowOff>
    </xdr:from>
    <xdr:ext cx="847725" cy="264560"/>
    <xdr:sp macro="" textlink="">
      <xdr:nvSpPr>
        <xdr:cNvPr id="202" name="CuadroTexto 201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64C47230-D7E7-4285-9318-6DE82929CC72}"/>
            </a:ext>
          </a:extLst>
        </xdr:cNvPr>
        <xdr:cNvSpPr txBox="1"/>
      </xdr:nvSpPr>
      <xdr:spPr>
        <a:xfrm>
          <a:off x="4562475" y="789051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G</a:t>
          </a:r>
        </a:p>
      </xdr:txBody>
    </xdr:sp>
    <xdr:clientData/>
  </xdr:oneCellAnchor>
  <xdr:oneCellAnchor>
    <xdr:from>
      <xdr:col>11</xdr:col>
      <xdr:colOff>1009650</xdr:colOff>
      <xdr:row>90</xdr:row>
      <xdr:rowOff>9525</xdr:rowOff>
    </xdr:from>
    <xdr:ext cx="847725" cy="264560"/>
    <xdr:sp macro="" textlink="">
      <xdr:nvSpPr>
        <xdr:cNvPr id="203" name="CuadroTexto 202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1FD187F5-34B6-489F-8FF2-95F994264344}"/>
            </a:ext>
          </a:extLst>
        </xdr:cNvPr>
        <xdr:cNvSpPr txBox="1"/>
      </xdr:nvSpPr>
      <xdr:spPr>
        <a:xfrm>
          <a:off x="4552950" y="181832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H</a:t>
          </a:r>
        </a:p>
      </xdr:txBody>
    </xdr:sp>
    <xdr:clientData/>
  </xdr:oneCellAnchor>
  <xdr:oneCellAnchor>
    <xdr:from>
      <xdr:col>11</xdr:col>
      <xdr:colOff>1019175</xdr:colOff>
      <xdr:row>222</xdr:row>
      <xdr:rowOff>9525</xdr:rowOff>
    </xdr:from>
    <xdr:ext cx="847725" cy="264560"/>
    <xdr:sp macro="" textlink="">
      <xdr:nvSpPr>
        <xdr:cNvPr id="204" name="CuadroTexto 203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4AA1009C-CCF8-4B43-9058-83A7EBC388B9}"/>
            </a:ext>
          </a:extLst>
        </xdr:cNvPr>
        <xdr:cNvSpPr txBox="1"/>
      </xdr:nvSpPr>
      <xdr:spPr>
        <a:xfrm>
          <a:off x="4562475" y="443769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H</a:t>
          </a:r>
        </a:p>
      </xdr:txBody>
    </xdr:sp>
    <xdr:clientData/>
  </xdr:oneCellAnchor>
  <xdr:oneCellAnchor>
    <xdr:from>
      <xdr:col>11</xdr:col>
      <xdr:colOff>1009650</xdr:colOff>
      <xdr:row>234</xdr:row>
      <xdr:rowOff>9525</xdr:rowOff>
    </xdr:from>
    <xdr:ext cx="847725" cy="264560"/>
    <xdr:sp macro="" textlink="">
      <xdr:nvSpPr>
        <xdr:cNvPr id="205" name="CuadroTexto 20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B6C877CE-1B44-438B-9D2B-824497E5B6BA}"/>
            </a:ext>
          </a:extLst>
        </xdr:cNvPr>
        <xdr:cNvSpPr txBox="1"/>
      </xdr:nvSpPr>
      <xdr:spPr>
        <a:xfrm>
          <a:off x="4552950" y="467582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H</a:t>
          </a:r>
        </a:p>
      </xdr:txBody>
    </xdr:sp>
    <xdr:clientData/>
  </xdr:oneCellAnchor>
  <xdr:oneCellAnchor>
    <xdr:from>
      <xdr:col>11</xdr:col>
      <xdr:colOff>1028700</xdr:colOff>
      <xdr:row>378</xdr:row>
      <xdr:rowOff>9525</xdr:rowOff>
    </xdr:from>
    <xdr:ext cx="847725" cy="264560"/>
    <xdr:sp macro="" textlink="">
      <xdr:nvSpPr>
        <xdr:cNvPr id="206" name="CuadroTexto 20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9DF87CD9-A943-42EC-93E0-95EFAB5DB231}"/>
            </a:ext>
          </a:extLst>
        </xdr:cNvPr>
        <xdr:cNvSpPr txBox="1"/>
      </xdr:nvSpPr>
      <xdr:spPr>
        <a:xfrm>
          <a:off x="4572000" y="753332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H</a:t>
          </a:r>
        </a:p>
      </xdr:txBody>
    </xdr:sp>
    <xdr:clientData/>
  </xdr:oneCellAnchor>
  <xdr:oneCellAnchor>
    <xdr:from>
      <xdr:col>11</xdr:col>
      <xdr:colOff>1019175</xdr:colOff>
      <xdr:row>384</xdr:row>
      <xdr:rowOff>9525</xdr:rowOff>
    </xdr:from>
    <xdr:ext cx="847725" cy="264560"/>
    <xdr:sp macro="" textlink="">
      <xdr:nvSpPr>
        <xdr:cNvPr id="207" name="CuadroTexto 206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91F1E54E-9608-4662-B390-0910A2A74F26}"/>
            </a:ext>
          </a:extLst>
        </xdr:cNvPr>
        <xdr:cNvSpPr txBox="1"/>
      </xdr:nvSpPr>
      <xdr:spPr>
        <a:xfrm>
          <a:off x="4562475" y="76523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H</a:t>
          </a:r>
        </a:p>
      </xdr:txBody>
    </xdr:sp>
    <xdr:clientData/>
  </xdr:oneCellAnchor>
  <xdr:oneCellAnchor>
    <xdr:from>
      <xdr:col>11</xdr:col>
      <xdr:colOff>1019175</xdr:colOff>
      <xdr:row>102</xdr:row>
      <xdr:rowOff>9525</xdr:rowOff>
    </xdr:from>
    <xdr:ext cx="847725" cy="264560"/>
    <xdr:sp macro="" textlink="">
      <xdr:nvSpPr>
        <xdr:cNvPr id="208" name="CuadroTexto 207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E34AB2C6-0A8B-4A9F-8FBC-F39260E54FC2}"/>
            </a:ext>
          </a:extLst>
        </xdr:cNvPr>
        <xdr:cNvSpPr txBox="1"/>
      </xdr:nvSpPr>
      <xdr:spPr>
        <a:xfrm>
          <a:off x="4562475" y="205644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I</a:t>
          </a:r>
        </a:p>
      </xdr:txBody>
    </xdr:sp>
    <xdr:clientData/>
  </xdr:oneCellAnchor>
  <xdr:oneCellAnchor>
    <xdr:from>
      <xdr:col>11</xdr:col>
      <xdr:colOff>1009650</xdr:colOff>
      <xdr:row>108</xdr:row>
      <xdr:rowOff>9525</xdr:rowOff>
    </xdr:from>
    <xdr:ext cx="847725" cy="264560"/>
    <xdr:sp macro="" textlink="">
      <xdr:nvSpPr>
        <xdr:cNvPr id="209" name="CuadroTexto 208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D4663E0F-45FA-4534-8700-8AA2137E6C4E}"/>
            </a:ext>
          </a:extLst>
        </xdr:cNvPr>
        <xdr:cNvSpPr txBox="1"/>
      </xdr:nvSpPr>
      <xdr:spPr>
        <a:xfrm>
          <a:off x="4552950" y="217551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I</a:t>
          </a:r>
        </a:p>
      </xdr:txBody>
    </xdr:sp>
    <xdr:clientData/>
  </xdr:oneCellAnchor>
  <xdr:oneCellAnchor>
    <xdr:from>
      <xdr:col>11</xdr:col>
      <xdr:colOff>1019175</xdr:colOff>
      <xdr:row>252</xdr:row>
      <xdr:rowOff>9525</xdr:rowOff>
    </xdr:from>
    <xdr:ext cx="847725" cy="264560"/>
    <xdr:sp macro="" textlink="">
      <xdr:nvSpPr>
        <xdr:cNvPr id="210" name="CuadroTexto 209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ADEA1D5D-E3BA-4046-A692-4CB428E5BDB0}"/>
            </a:ext>
          </a:extLst>
        </xdr:cNvPr>
        <xdr:cNvSpPr txBox="1"/>
      </xdr:nvSpPr>
      <xdr:spPr>
        <a:xfrm>
          <a:off x="4562475" y="503301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I</a:t>
          </a:r>
        </a:p>
      </xdr:txBody>
    </xdr:sp>
    <xdr:clientData/>
  </xdr:oneCellAnchor>
  <xdr:oneCellAnchor>
    <xdr:from>
      <xdr:col>11</xdr:col>
      <xdr:colOff>1009650</xdr:colOff>
      <xdr:row>258</xdr:row>
      <xdr:rowOff>9525</xdr:rowOff>
    </xdr:from>
    <xdr:ext cx="847725" cy="264560"/>
    <xdr:sp macro="" textlink="">
      <xdr:nvSpPr>
        <xdr:cNvPr id="211" name="CuadroTexto 21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2FA608E7-F647-4496-90EB-75F72327D12E}"/>
            </a:ext>
          </a:extLst>
        </xdr:cNvPr>
        <xdr:cNvSpPr txBox="1"/>
      </xdr:nvSpPr>
      <xdr:spPr>
        <a:xfrm>
          <a:off x="4552950" y="515207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I</a:t>
          </a:r>
        </a:p>
      </xdr:txBody>
    </xdr:sp>
    <xdr:clientData/>
  </xdr:oneCellAnchor>
  <xdr:oneCellAnchor>
    <xdr:from>
      <xdr:col>11</xdr:col>
      <xdr:colOff>1019175</xdr:colOff>
      <xdr:row>366</xdr:row>
      <xdr:rowOff>9525</xdr:rowOff>
    </xdr:from>
    <xdr:ext cx="847725" cy="264560"/>
    <xdr:sp macro="" textlink="">
      <xdr:nvSpPr>
        <xdr:cNvPr id="212" name="CuadroTexto 211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A92373D6-BD0D-4680-8E05-E2900DBDB930}"/>
            </a:ext>
          </a:extLst>
        </xdr:cNvPr>
        <xdr:cNvSpPr txBox="1"/>
      </xdr:nvSpPr>
      <xdr:spPr>
        <a:xfrm>
          <a:off x="4562475" y="729519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I</a:t>
          </a:r>
        </a:p>
      </xdr:txBody>
    </xdr:sp>
    <xdr:clientData/>
  </xdr:oneCellAnchor>
  <xdr:oneCellAnchor>
    <xdr:from>
      <xdr:col>11</xdr:col>
      <xdr:colOff>1028700</xdr:colOff>
      <xdr:row>372</xdr:row>
      <xdr:rowOff>9525</xdr:rowOff>
    </xdr:from>
    <xdr:ext cx="847725" cy="264560"/>
    <xdr:sp macro="" textlink="">
      <xdr:nvSpPr>
        <xdr:cNvPr id="213" name="CuadroTexto 212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890516F-EF47-4BF1-8285-DF9041E7B4E7}"/>
            </a:ext>
          </a:extLst>
        </xdr:cNvPr>
        <xdr:cNvSpPr txBox="1"/>
      </xdr:nvSpPr>
      <xdr:spPr>
        <a:xfrm>
          <a:off x="4572000" y="741426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I</a:t>
          </a:r>
        </a:p>
      </xdr:txBody>
    </xdr:sp>
    <xdr:clientData/>
  </xdr:oneCellAnchor>
  <xdr:oneCellAnchor>
    <xdr:from>
      <xdr:col>11</xdr:col>
      <xdr:colOff>1009650</xdr:colOff>
      <xdr:row>114</xdr:row>
      <xdr:rowOff>9525</xdr:rowOff>
    </xdr:from>
    <xdr:ext cx="847725" cy="264560"/>
    <xdr:sp macro="" textlink="">
      <xdr:nvSpPr>
        <xdr:cNvPr id="216" name="CuadroTexto 215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642C6C7-4C18-4B2F-AC9B-9F5AF9F0CF4B}"/>
            </a:ext>
          </a:extLst>
        </xdr:cNvPr>
        <xdr:cNvSpPr txBox="1"/>
      </xdr:nvSpPr>
      <xdr:spPr>
        <a:xfrm>
          <a:off x="4552950" y="229457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J</a:t>
          </a:r>
        </a:p>
      </xdr:txBody>
    </xdr:sp>
    <xdr:clientData/>
  </xdr:oneCellAnchor>
  <xdr:oneCellAnchor>
    <xdr:from>
      <xdr:col>11</xdr:col>
      <xdr:colOff>1019175</xdr:colOff>
      <xdr:row>120</xdr:row>
      <xdr:rowOff>9525</xdr:rowOff>
    </xdr:from>
    <xdr:ext cx="847725" cy="264560"/>
    <xdr:sp macro="" textlink="">
      <xdr:nvSpPr>
        <xdr:cNvPr id="217" name="CuadroTexto 216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C3BBF7BD-A8F1-42A1-81DA-0A8AFB50D192}"/>
            </a:ext>
          </a:extLst>
        </xdr:cNvPr>
        <xdr:cNvSpPr txBox="1"/>
      </xdr:nvSpPr>
      <xdr:spPr>
        <a:xfrm>
          <a:off x="4562475" y="241363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J</a:t>
          </a:r>
        </a:p>
      </xdr:txBody>
    </xdr:sp>
    <xdr:clientData/>
  </xdr:oneCellAnchor>
  <xdr:oneCellAnchor>
    <xdr:from>
      <xdr:col>11</xdr:col>
      <xdr:colOff>1019175</xdr:colOff>
      <xdr:row>246</xdr:row>
      <xdr:rowOff>9525</xdr:rowOff>
    </xdr:from>
    <xdr:ext cx="847725" cy="264560"/>
    <xdr:sp macro="" textlink="">
      <xdr:nvSpPr>
        <xdr:cNvPr id="218" name="CuadroTexto 217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5301E754-DFE7-4115-867F-67D92B438118}"/>
            </a:ext>
          </a:extLst>
        </xdr:cNvPr>
        <xdr:cNvSpPr txBox="1"/>
      </xdr:nvSpPr>
      <xdr:spPr>
        <a:xfrm>
          <a:off x="4562475" y="491394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J</a:t>
          </a:r>
        </a:p>
      </xdr:txBody>
    </xdr:sp>
    <xdr:clientData/>
  </xdr:oneCellAnchor>
  <xdr:oneCellAnchor>
    <xdr:from>
      <xdr:col>11</xdr:col>
      <xdr:colOff>1019175</xdr:colOff>
      <xdr:row>264</xdr:row>
      <xdr:rowOff>9525</xdr:rowOff>
    </xdr:from>
    <xdr:ext cx="847725" cy="264560"/>
    <xdr:sp macro="" textlink="">
      <xdr:nvSpPr>
        <xdr:cNvPr id="219" name="CuadroTexto 218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14853B4B-7824-41B1-BBC6-4C9A88807BA7}"/>
            </a:ext>
          </a:extLst>
        </xdr:cNvPr>
        <xdr:cNvSpPr txBox="1"/>
      </xdr:nvSpPr>
      <xdr:spPr>
        <a:xfrm>
          <a:off x="4562475" y="527113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J</a:t>
          </a:r>
        </a:p>
      </xdr:txBody>
    </xdr:sp>
    <xdr:clientData/>
  </xdr:oneCellAnchor>
  <xdr:oneCellAnchor>
    <xdr:from>
      <xdr:col>11</xdr:col>
      <xdr:colOff>1019175</xdr:colOff>
      <xdr:row>426</xdr:row>
      <xdr:rowOff>9525</xdr:rowOff>
    </xdr:from>
    <xdr:ext cx="847725" cy="264560"/>
    <xdr:sp macro="" textlink="">
      <xdr:nvSpPr>
        <xdr:cNvPr id="220" name="CuadroTexto 219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41CC6C3B-3762-4603-813E-A8B3FE96F823}"/>
            </a:ext>
          </a:extLst>
        </xdr:cNvPr>
        <xdr:cNvSpPr txBox="1"/>
      </xdr:nvSpPr>
      <xdr:spPr>
        <a:xfrm>
          <a:off x="4562475" y="848582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J</a:t>
          </a:r>
        </a:p>
      </xdr:txBody>
    </xdr:sp>
    <xdr:clientData/>
  </xdr:oneCellAnchor>
  <xdr:oneCellAnchor>
    <xdr:from>
      <xdr:col>11</xdr:col>
      <xdr:colOff>1019175</xdr:colOff>
      <xdr:row>432</xdr:row>
      <xdr:rowOff>9525</xdr:rowOff>
    </xdr:from>
    <xdr:ext cx="847725" cy="264560"/>
    <xdr:sp macro="" textlink="">
      <xdr:nvSpPr>
        <xdr:cNvPr id="221" name="CuadroTexto 220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8DC9D515-82DE-491C-BD7F-ECE17AE47920}"/>
            </a:ext>
          </a:extLst>
        </xdr:cNvPr>
        <xdr:cNvSpPr txBox="1"/>
      </xdr:nvSpPr>
      <xdr:spPr>
        <a:xfrm>
          <a:off x="4562475" y="86048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J</a:t>
          </a:r>
        </a:p>
      </xdr:txBody>
    </xdr:sp>
    <xdr:clientData/>
  </xdr:oneCellAnchor>
  <xdr:oneCellAnchor>
    <xdr:from>
      <xdr:col>11</xdr:col>
      <xdr:colOff>1009650</xdr:colOff>
      <xdr:row>126</xdr:row>
      <xdr:rowOff>9525</xdr:rowOff>
    </xdr:from>
    <xdr:ext cx="847725" cy="264560"/>
    <xdr:sp macro="" textlink="">
      <xdr:nvSpPr>
        <xdr:cNvPr id="222" name="CuadroTexto 221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5C931869-C49B-480B-911E-5FE08FD2C87F}"/>
            </a:ext>
          </a:extLst>
        </xdr:cNvPr>
        <xdr:cNvSpPr txBox="1"/>
      </xdr:nvSpPr>
      <xdr:spPr>
        <a:xfrm>
          <a:off x="4552950" y="253269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K</a:t>
          </a:r>
        </a:p>
      </xdr:txBody>
    </xdr:sp>
    <xdr:clientData/>
  </xdr:oneCellAnchor>
  <xdr:oneCellAnchor>
    <xdr:from>
      <xdr:col>11</xdr:col>
      <xdr:colOff>1019175</xdr:colOff>
      <xdr:row>144</xdr:row>
      <xdr:rowOff>9525</xdr:rowOff>
    </xdr:from>
    <xdr:ext cx="847725" cy="264560"/>
    <xdr:sp macro="" textlink="">
      <xdr:nvSpPr>
        <xdr:cNvPr id="223" name="CuadroTexto 222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F388ABD1-0EA1-4444-A548-8DC2E5D4AF67}"/>
            </a:ext>
          </a:extLst>
        </xdr:cNvPr>
        <xdr:cNvSpPr txBox="1"/>
      </xdr:nvSpPr>
      <xdr:spPr>
        <a:xfrm>
          <a:off x="4562475" y="28898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K</a:t>
          </a:r>
        </a:p>
      </xdr:txBody>
    </xdr:sp>
    <xdr:clientData/>
  </xdr:oneCellAnchor>
  <xdr:oneCellAnchor>
    <xdr:from>
      <xdr:col>11</xdr:col>
      <xdr:colOff>1019175</xdr:colOff>
      <xdr:row>270</xdr:row>
      <xdr:rowOff>9525</xdr:rowOff>
    </xdr:from>
    <xdr:ext cx="847725" cy="264560"/>
    <xdr:sp macro="" textlink="">
      <xdr:nvSpPr>
        <xdr:cNvPr id="224" name="CuadroTexto 223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5E5FED8E-9CEF-4205-B1C4-AF22864C5876}"/>
            </a:ext>
          </a:extLst>
        </xdr:cNvPr>
        <xdr:cNvSpPr txBox="1"/>
      </xdr:nvSpPr>
      <xdr:spPr>
        <a:xfrm>
          <a:off x="4562475" y="539019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K</a:t>
          </a:r>
        </a:p>
      </xdr:txBody>
    </xdr:sp>
    <xdr:clientData/>
  </xdr:oneCellAnchor>
  <xdr:oneCellAnchor>
    <xdr:from>
      <xdr:col>11</xdr:col>
      <xdr:colOff>1009650</xdr:colOff>
      <xdr:row>288</xdr:row>
      <xdr:rowOff>9525</xdr:rowOff>
    </xdr:from>
    <xdr:ext cx="847725" cy="264560"/>
    <xdr:sp macro="" textlink="">
      <xdr:nvSpPr>
        <xdr:cNvPr id="225" name="CuadroTexto 22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1B79CB2A-8158-4700-BA42-B21E606067C1}"/>
            </a:ext>
          </a:extLst>
        </xdr:cNvPr>
        <xdr:cNvSpPr txBox="1"/>
      </xdr:nvSpPr>
      <xdr:spPr>
        <a:xfrm>
          <a:off x="4552950" y="574738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K</a:t>
          </a:r>
        </a:p>
      </xdr:txBody>
    </xdr:sp>
    <xdr:clientData/>
  </xdr:oneCellAnchor>
  <xdr:oneCellAnchor>
    <xdr:from>
      <xdr:col>11</xdr:col>
      <xdr:colOff>1028700</xdr:colOff>
      <xdr:row>414</xdr:row>
      <xdr:rowOff>9525</xdr:rowOff>
    </xdr:from>
    <xdr:ext cx="847725" cy="264560"/>
    <xdr:sp macro="" textlink="">
      <xdr:nvSpPr>
        <xdr:cNvPr id="226" name="CuadroTexto 225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CA28656C-2CDD-41E6-B3CA-8953ED8382E1}"/>
            </a:ext>
          </a:extLst>
        </xdr:cNvPr>
        <xdr:cNvSpPr txBox="1"/>
      </xdr:nvSpPr>
      <xdr:spPr>
        <a:xfrm>
          <a:off x="4572000" y="8247697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K</a:t>
          </a:r>
        </a:p>
      </xdr:txBody>
    </xdr:sp>
    <xdr:clientData/>
  </xdr:oneCellAnchor>
  <xdr:oneCellAnchor>
    <xdr:from>
      <xdr:col>11</xdr:col>
      <xdr:colOff>1019175</xdr:colOff>
      <xdr:row>420</xdr:row>
      <xdr:rowOff>9525</xdr:rowOff>
    </xdr:from>
    <xdr:ext cx="847725" cy="264560"/>
    <xdr:sp macro="" textlink="">
      <xdr:nvSpPr>
        <xdr:cNvPr id="227" name="CuadroTexto 226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27067333-E88D-41F4-BC48-6D9670D41C04}"/>
            </a:ext>
          </a:extLst>
        </xdr:cNvPr>
        <xdr:cNvSpPr txBox="1"/>
      </xdr:nvSpPr>
      <xdr:spPr>
        <a:xfrm>
          <a:off x="4562475" y="836676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K</a:t>
          </a:r>
        </a:p>
      </xdr:txBody>
    </xdr:sp>
    <xdr:clientData/>
  </xdr:oneCellAnchor>
  <xdr:oneCellAnchor>
    <xdr:from>
      <xdr:col>11</xdr:col>
      <xdr:colOff>1019175</xdr:colOff>
      <xdr:row>132</xdr:row>
      <xdr:rowOff>9525</xdr:rowOff>
    </xdr:from>
    <xdr:ext cx="847725" cy="264560"/>
    <xdr:sp macro="" textlink="">
      <xdr:nvSpPr>
        <xdr:cNvPr id="228" name="CuadroTexto 227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6490B66E-CEE2-4634-BB52-02D4DF4E0B08}"/>
            </a:ext>
          </a:extLst>
        </xdr:cNvPr>
        <xdr:cNvSpPr txBox="1"/>
      </xdr:nvSpPr>
      <xdr:spPr>
        <a:xfrm>
          <a:off x="4562475" y="265176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L</a:t>
          </a:r>
        </a:p>
      </xdr:txBody>
    </xdr:sp>
    <xdr:clientData/>
  </xdr:oneCellAnchor>
  <xdr:oneCellAnchor>
    <xdr:from>
      <xdr:col>11</xdr:col>
      <xdr:colOff>1019175</xdr:colOff>
      <xdr:row>138</xdr:row>
      <xdr:rowOff>9525</xdr:rowOff>
    </xdr:from>
    <xdr:ext cx="847725" cy="264560"/>
    <xdr:sp macro="" textlink="">
      <xdr:nvSpPr>
        <xdr:cNvPr id="229" name="CuadroTexto 228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CEC97CDF-BBB1-4033-9D33-B966AF78C046}"/>
            </a:ext>
          </a:extLst>
        </xdr:cNvPr>
        <xdr:cNvSpPr txBox="1"/>
      </xdr:nvSpPr>
      <xdr:spPr>
        <a:xfrm>
          <a:off x="4562475" y="277082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L</a:t>
          </a:r>
        </a:p>
      </xdr:txBody>
    </xdr:sp>
    <xdr:clientData/>
  </xdr:oneCellAnchor>
  <xdr:oneCellAnchor>
    <xdr:from>
      <xdr:col>11</xdr:col>
      <xdr:colOff>1028700</xdr:colOff>
      <xdr:row>276</xdr:row>
      <xdr:rowOff>9525</xdr:rowOff>
    </xdr:from>
    <xdr:ext cx="847725" cy="264560"/>
    <xdr:sp macro="" textlink="">
      <xdr:nvSpPr>
        <xdr:cNvPr id="230" name="CuadroTexto 229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B70E7F51-F0A7-4982-9B94-2C0BB5A22A99}"/>
            </a:ext>
          </a:extLst>
        </xdr:cNvPr>
        <xdr:cNvSpPr txBox="1"/>
      </xdr:nvSpPr>
      <xdr:spPr>
        <a:xfrm>
          <a:off x="4572000" y="550926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L</a:t>
          </a:r>
        </a:p>
      </xdr:txBody>
    </xdr:sp>
    <xdr:clientData/>
  </xdr:oneCellAnchor>
  <xdr:oneCellAnchor>
    <xdr:from>
      <xdr:col>11</xdr:col>
      <xdr:colOff>1019175</xdr:colOff>
      <xdr:row>282</xdr:row>
      <xdr:rowOff>0</xdr:rowOff>
    </xdr:from>
    <xdr:ext cx="847725" cy="264560"/>
    <xdr:sp macro="" textlink="">
      <xdr:nvSpPr>
        <xdr:cNvPr id="231" name="CuadroTexto 230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6C4739D1-D9DE-47CB-84D2-D406F83FD34B}"/>
            </a:ext>
          </a:extLst>
        </xdr:cNvPr>
        <xdr:cNvSpPr txBox="1"/>
      </xdr:nvSpPr>
      <xdr:spPr>
        <a:xfrm>
          <a:off x="4562475" y="5627370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L</a:t>
          </a:r>
        </a:p>
      </xdr:txBody>
    </xdr:sp>
    <xdr:clientData/>
  </xdr:oneCellAnchor>
  <xdr:oneCellAnchor>
    <xdr:from>
      <xdr:col>11</xdr:col>
      <xdr:colOff>1019175</xdr:colOff>
      <xdr:row>402</xdr:row>
      <xdr:rowOff>9525</xdr:rowOff>
    </xdr:from>
    <xdr:ext cx="847725" cy="264560"/>
    <xdr:sp macro="" textlink="">
      <xdr:nvSpPr>
        <xdr:cNvPr id="232" name="CuadroTexto 231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D45415B5-8FD9-4756-AFD0-064E2D4ED10B}"/>
            </a:ext>
          </a:extLst>
        </xdr:cNvPr>
        <xdr:cNvSpPr txBox="1"/>
      </xdr:nvSpPr>
      <xdr:spPr>
        <a:xfrm>
          <a:off x="4562475" y="80095725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L</a:t>
          </a:r>
        </a:p>
      </xdr:txBody>
    </xdr:sp>
    <xdr:clientData/>
  </xdr:oneCellAnchor>
  <xdr:oneCellAnchor>
    <xdr:from>
      <xdr:col>11</xdr:col>
      <xdr:colOff>1019175</xdr:colOff>
      <xdr:row>408</xdr:row>
      <xdr:rowOff>9525</xdr:rowOff>
    </xdr:from>
    <xdr:ext cx="847725" cy="264560"/>
    <xdr:sp macro="" textlink="">
      <xdr:nvSpPr>
        <xdr:cNvPr id="233" name="CuadroTexto 232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89A09D03-D64E-432D-8BAA-C64FB6EAEAD1}"/>
            </a:ext>
          </a:extLst>
        </xdr:cNvPr>
        <xdr:cNvSpPr txBox="1"/>
      </xdr:nvSpPr>
      <xdr:spPr>
        <a:xfrm>
          <a:off x="4562475" y="81286350"/>
          <a:ext cx="847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UY" sz="1100" b="1" u="sng">
              <a:solidFill>
                <a:srgbClr val="4B811B"/>
              </a:solidFill>
            </a:rPr>
            <a:t>Grupo L</a:t>
          </a: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209550</xdr:colOff>
      <xdr:row>2</xdr:row>
      <xdr:rowOff>47625</xdr:rowOff>
    </xdr:from>
    <xdr:to>
      <xdr:col>17</xdr:col>
      <xdr:colOff>180975</xdr:colOff>
      <xdr:row>20</xdr:row>
      <xdr:rowOff>152400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B52C476-5561-2670-AB1B-F48DDAEAB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0" y="676275"/>
          <a:ext cx="3019425" cy="3419475"/>
        </a:xfrm>
        <a:prstGeom prst="rect">
          <a:avLst/>
        </a:prstGeom>
      </xdr:spPr>
    </xdr:pic>
    <xdr:clientData/>
  </xdr:twoCellAnchor>
  <xdr:oneCellAnchor>
    <xdr:from>
      <xdr:col>0</xdr:col>
      <xdr:colOff>323850</xdr:colOff>
      <xdr:row>0</xdr:row>
      <xdr:rowOff>152400</xdr:rowOff>
    </xdr:from>
    <xdr:ext cx="4655505" cy="405432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2270D6CB-FCC4-4948-BF13-CACB88857CC4}"/>
            </a:ext>
          </a:extLst>
        </xdr:cNvPr>
        <xdr:cNvSpPr txBox="1"/>
      </xdr:nvSpPr>
      <xdr:spPr>
        <a:xfrm>
          <a:off x="323850" y="152400"/>
          <a:ext cx="465550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Algunos datos sobre la Copa Mundial FIFA</a:t>
          </a:r>
        </a:p>
      </xdr:txBody>
    </xdr:sp>
    <xdr:clientData/>
  </xdr:oneCellAnchor>
  <xdr:twoCellAnchor editAs="oneCell">
    <xdr:from>
      <xdr:col>1</xdr:col>
      <xdr:colOff>28575</xdr:colOff>
      <xdr:row>19</xdr:row>
      <xdr:rowOff>9525</xdr:rowOff>
    </xdr:from>
    <xdr:to>
      <xdr:col>1</xdr:col>
      <xdr:colOff>208575</xdr:colOff>
      <xdr:row>19</xdr:row>
      <xdr:rowOff>189525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762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20</xdr:row>
      <xdr:rowOff>9525</xdr:rowOff>
    </xdr:from>
    <xdr:to>
      <xdr:col>1</xdr:col>
      <xdr:colOff>208575</xdr:colOff>
      <xdr:row>20</xdr:row>
      <xdr:rowOff>189525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952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21</xdr:row>
      <xdr:rowOff>9525</xdr:rowOff>
    </xdr:from>
    <xdr:to>
      <xdr:col>1</xdr:col>
      <xdr:colOff>208575</xdr:colOff>
      <xdr:row>21</xdr:row>
      <xdr:rowOff>189525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4143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22</xdr:row>
      <xdr:rowOff>9525</xdr:rowOff>
    </xdr:from>
    <xdr:to>
      <xdr:col>1</xdr:col>
      <xdr:colOff>208575</xdr:colOff>
      <xdr:row>22</xdr:row>
      <xdr:rowOff>189525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4333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23</xdr:row>
      <xdr:rowOff>9525</xdr:rowOff>
    </xdr:from>
    <xdr:to>
      <xdr:col>1</xdr:col>
      <xdr:colOff>208575</xdr:colOff>
      <xdr:row>23</xdr:row>
      <xdr:rowOff>189525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4524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24</xdr:row>
      <xdr:rowOff>9525</xdr:rowOff>
    </xdr:from>
    <xdr:to>
      <xdr:col>1</xdr:col>
      <xdr:colOff>208575</xdr:colOff>
      <xdr:row>24</xdr:row>
      <xdr:rowOff>189525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4714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25</xdr:row>
      <xdr:rowOff>9525</xdr:rowOff>
    </xdr:from>
    <xdr:to>
      <xdr:col>1</xdr:col>
      <xdr:colOff>208575</xdr:colOff>
      <xdr:row>25</xdr:row>
      <xdr:rowOff>189525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491490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26</xdr:row>
      <xdr:rowOff>9525</xdr:rowOff>
    </xdr:from>
    <xdr:to>
      <xdr:col>1</xdr:col>
      <xdr:colOff>208575</xdr:colOff>
      <xdr:row>26</xdr:row>
      <xdr:rowOff>189525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511492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21</xdr:row>
      <xdr:rowOff>9525</xdr:rowOff>
    </xdr:from>
    <xdr:to>
      <xdr:col>7</xdr:col>
      <xdr:colOff>189525</xdr:colOff>
      <xdr:row>21</xdr:row>
      <xdr:rowOff>189525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3762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19</xdr:row>
      <xdr:rowOff>9525</xdr:rowOff>
    </xdr:from>
    <xdr:to>
      <xdr:col>3</xdr:col>
      <xdr:colOff>189525</xdr:colOff>
      <xdr:row>19</xdr:row>
      <xdr:rowOff>189525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3952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22</xdr:row>
      <xdr:rowOff>9525</xdr:rowOff>
    </xdr:from>
    <xdr:to>
      <xdr:col>7</xdr:col>
      <xdr:colOff>189525</xdr:colOff>
      <xdr:row>22</xdr:row>
      <xdr:rowOff>189525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4143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20</xdr:row>
      <xdr:rowOff>9525</xdr:rowOff>
    </xdr:from>
    <xdr:to>
      <xdr:col>3</xdr:col>
      <xdr:colOff>189525</xdr:colOff>
      <xdr:row>20</xdr:row>
      <xdr:rowOff>189525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4333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21</xdr:row>
      <xdr:rowOff>9525</xdr:rowOff>
    </xdr:from>
    <xdr:to>
      <xdr:col>3</xdr:col>
      <xdr:colOff>189525</xdr:colOff>
      <xdr:row>21</xdr:row>
      <xdr:rowOff>189525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4524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22</xdr:row>
      <xdr:rowOff>9525</xdr:rowOff>
    </xdr:from>
    <xdr:to>
      <xdr:col>3</xdr:col>
      <xdr:colOff>189525</xdr:colOff>
      <xdr:row>22</xdr:row>
      <xdr:rowOff>189525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472440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23</xdr:row>
      <xdr:rowOff>9525</xdr:rowOff>
    </xdr:from>
    <xdr:to>
      <xdr:col>3</xdr:col>
      <xdr:colOff>189525</xdr:colOff>
      <xdr:row>23</xdr:row>
      <xdr:rowOff>189525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492442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24</xdr:row>
      <xdr:rowOff>9525</xdr:rowOff>
    </xdr:from>
    <xdr:to>
      <xdr:col>3</xdr:col>
      <xdr:colOff>189525</xdr:colOff>
      <xdr:row>24</xdr:row>
      <xdr:rowOff>189525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512445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29</xdr:row>
      <xdr:rowOff>9525</xdr:rowOff>
    </xdr:from>
    <xdr:to>
      <xdr:col>3</xdr:col>
      <xdr:colOff>199050</xdr:colOff>
      <xdr:row>29</xdr:row>
      <xdr:rowOff>189525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3762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30</xdr:row>
      <xdr:rowOff>9525</xdr:rowOff>
    </xdr:from>
    <xdr:to>
      <xdr:col>3</xdr:col>
      <xdr:colOff>199050</xdr:colOff>
      <xdr:row>30</xdr:row>
      <xdr:rowOff>189525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3952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19</xdr:row>
      <xdr:rowOff>9525</xdr:rowOff>
    </xdr:from>
    <xdr:to>
      <xdr:col>5</xdr:col>
      <xdr:colOff>199050</xdr:colOff>
      <xdr:row>19</xdr:row>
      <xdr:rowOff>189525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4143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20</xdr:row>
      <xdr:rowOff>9525</xdr:rowOff>
    </xdr:from>
    <xdr:to>
      <xdr:col>5</xdr:col>
      <xdr:colOff>199050</xdr:colOff>
      <xdr:row>20</xdr:row>
      <xdr:rowOff>189525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4333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21</xdr:row>
      <xdr:rowOff>9525</xdr:rowOff>
    </xdr:from>
    <xdr:to>
      <xdr:col>5</xdr:col>
      <xdr:colOff>199050</xdr:colOff>
      <xdr:row>21</xdr:row>
      <xdr:rowOff>189525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4524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22</xdr:row>
      <xdr:rowOff>9525</xdr:rowOff>
    </xdr:from>
    <xdr:to>
      <xdr:col>5</xdr:col>
      <xdr:colOff>199050</xdr:colOff>
      <xdr:row>22</xdr:row>
      <xdr:rowOff>189525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472440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23</xdr:row>
      <xdr:rowOff>9525</xdr:rowOff>
    </xdr:from>
    <xdr:to>
      <xdr:col>5</xdr:col>
      <xdr:colOff>199050</xdr:colOff>
      <xdr:row>23</xdr:row>
      <xdr:rowOff>189525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492442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24</xdr:row>
      <xdr:rowOff>9525</xdr:rowOff>
    </xdr:from>
    <xdr:to>
      <xdr:col>5</xdr:col>
      <xdr:colOff>199050</xdr:colOff>
      <xdr:row>24</xdr:row>
      <xdr:rowOff>189525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512445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29</xdr:row>
      <xdr:rowOff>9525</xdr:rowOff>
    </xdr:from>
    <xdr:to>
      <xdr:col>5</xdr:col>
      <xdr:colOff>199050</xdr:colOff>
      <xdr:row>29</xdr:row>
      <xdr:rowOff>189525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3762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30</xdr:row>
      <xdr:rowOff>9525</xdr:rowOff>
    </xdr:from>
    <xdr:to>
      <xdr:col>5</xdr:col>
      <xdr:colOff>199050</xdr:colOff>
      <xdr:row>30</xdr:row>
      <xdr:rowOff>189525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3952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19</xdr:row>
      <xdr:rowOff>9525</xdr:rowOff>
    </xdr:from>
    <xdr:to>
      <xdr:col>7</xdr:col>
      <xdr:colOff>199050</xdr:colOff>
      <xdr:row>19</xdr:row>
      <xdr:rowOff>189525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4143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20</xdr:row>
      <xdr:rowOff>9525</xdr:rowOff>
    </xdr:from>
    <xdr:to>
      <xdr:col>7</xdr:col>
      <xdr:colOff>199050</xdr:colOff>
      <xdr:row>20</xdr:row>
      <xdr:rowOff>189525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43338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23</xdr:row>
      <xdr:rowOff>9525</xdr:rowOff>
    </xdr:from>
    <xdr:to>
      <xdr:col>7</xdr:col>
      <xdr:colOff>199050</xdr:colOff>
      <xdr:row>23</xdr:row>
      <xdr:rowOff>189525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452437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24</xdr:row>
      <xdr:rowOff>9525</xdr:rowOff>
    </xdr:from>
    <xdr:to>
      <xdr:col>7</xdr:col>
      <xdr:colOff>199050</xdr:colOff>
      <xdr:row>24</xdr:row>
      <xdr:rowOff>189525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472440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25</xdr:row>
      <xdr:rowOff>9525</xdr:rowOff>
    </xdr:from>
    <xdr:to>
      <xdr:col>7</xdr:col>
      <xdr:colOff>199050</xdr:colOff>
      <xdr:row>25</xdr:row>
      <xdr:rowOff>189525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4924425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26</xdr:row>
      <xdr:rowOff>9525</xdr:rowOff>
    </xdr:from>
    <xdr:to>
      <xdr:col>7</xdr:col>
      <xdr:colOff>199050</xdr:colOff>
      <xdr:row>26</xdr:row>
      <xdr:rowOff>189525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5124450"/>
          <a:ext cx="180000" cy="180000"/>
        </a:xfrm>
        <a:prstGeom prst="rect">
          <a:avLst/>
        </a:prstGeom>
      </xdr:spPr>
    </xdr:pic>
    <xdr:clientData/>
  </xdr:twoCellAnchor>
  <xdr:oneCellAnchor>
    <xdr:from>
      <xdr:col>1</xdr:col>
      <xdr:colOff>28575</xdr:colOff>
      <xdr:row>27</xdr:row>
      <xdr:rowOff>9525</xdr:rowOff>
    </xdr:from>
    <xdr:ext cx="180000" cy="180000"/>
    <xdr:pic>
      <xdr:nvPicPr>
        <xdr:cNvPr id="36" name="Imagen 35">
          <a:extLst>
            <a:ext uri="{FF2B5EF4-FFF2-40B4-BE49-F238E27FC236}">
              <a16:creationId xmlns:a16="http://schemas.microsoft.com/office/drawing/2014/main" id="{F10E5467-BC4C-426D-872D-498CA83D3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5314950"/>
          <a:ext cx="180000" cy="180000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28</xdr:row>
      <xdr:rowOff>9525</xdr:rowOff>
    </xdr:from>
    <xdr:ext cx="180000" cy="180000"/>
    <xdr:pic>
      <xdr:nvPicPr>
        <xdr:cNvPr id="38" name="Imagen 37">
          <a:extLst>
            <a:ext uri="{FF2B5EF4-FFF2-40B4-BE49-F238E27FC236}">
              <a16:creationId xmlns:a16="http://schemas.microsoft.com/office/drawing/2014/main" id="{F324FDB3-AF6E-45DB-9E55-1FAD6F2E9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5514975"/>
          <a:ext cx="180000" cy="180000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29</xdr:row>
      <xdr:rowOff>9525</xdr:rowOff>
    </xdr:from>
    <xdr:ext cx="180000" cy="180000"/>
    <xdr:pic>
      <xdr:nvPicPr>
        <xdr:cNvPr id="39" name="Imagen 38">
          <a:extLst>
            <a:ext uri="{FF2B5EF4-FFF2-40B4-BE49-F238E27FC236}">
              <a16:creationId xmlns:a16="http://schemas.microsoft.com/office/drawing/2014/main" id="{A6A74DE1-DEDD-4E6B-A950-DEA8E5F27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5715000"/>
          <a:ext cx="180000" cy="180000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30</xdr:row>
      <xdr:rowOff>9525</xdr:rowOff>
    </xdr:from>
    <xdr:ext cx="180000" cy="180000"/>
    <xdr:pic>
      <xdr:nvPicPr>
        <xdr:cNvPr id="40" name="Imagen 39">
          <a:extLst>
            <a:ext uri="{FF2B5EF4-FFF2-40B4-BE49-F238E27FC236}">
              <a16:creationId xmlns:a16="http://schemas.microsoft.com/office/drawing/2014/main" id="{DCBAE3E3-AEE9-4BDB-A890-80D43A2B5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5915025"/>
          <a:ext cx="180000" cy="18000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180000" cy="180000"/>
    <xdr:pic>
      <xdr:nvPicPr>
        <xdr:cNvPr id="42" name="Imagen 41">
          <a:extLst>
            <a:ext uri="{FF2B5EF4-FFF2-40B4-BE49-F238E27FC236}">
              <a16:creationId xmlns:a16="http://schemas.microsoft.com/office/drawing/2014/main" id="{6BAEBB0B-42DD-4CE9-B8C1-ED8F8D9ED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5324475"/>
          <a:ext cx="180000" cy="18000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180000" cy="180000"/>
    <xdr:pic>
      <xdr:nvPicPr>
        <xdr:cNvPr id="44" name="Imagen 43">
          <a:extLst>
            <a:ext uri="{FF2B5EF4-FFF2-40B4-BE49-F238E27FC236}">
              <a16:creationId xmlns:a16="http://schemas.microsoft.com/office/drawing/2014/main" id="{447063C6-78CB-4902-BF80-1E61146AF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5524500"/>
          <a:ext cx="180000" cy="18000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180000" cy="180000"/>
    <xdr:pic>
      <xdr:nvPicPr>
        <xdr:cNvPr id="47" name="Imagen 46">
          <a:extLst>
            <a:ext uri="{FF2B5EF4-FFF2-40B4-BE49-F238E27FC236}">
              <a16:creationId xmlns:a16="http://schemas.microsoft.com/office/drawing/2014/main" id="{69654EDA-D87E-4121-9A55-C141ABAE0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5724525"/>
          <a:ext cx="180000" cy="18000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180000" cy="180000"/>
    <xdr:pic>
      <xdr:nvPicPr>
        <xdr:cNvPr id="48" name="Imagen 47">
          <a:extLst>
            <a:ext uri="{FF2B5EF4-FFF2-40B4-BE49-F238E27FC236}">
              <a16:creationId xmlns:a16="http://schemas.microsoft.com/office/drawing/2014/main" id="{3E18D045-12D7-438D-81A2-13E5E4BC9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0" y="5924550"/>
          <a:ext cx="180000" cy="180000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25</xdr:row>
      <xdr:rowOff>9525</xdr:rowOff>
    </xdr:from>
    <xdr:ext cx="180000" cy="180000"/>
    <xdr:pic>
      <xdr:nvPicPr>
        <xdr:cNvPr id="49" name="Imagen 48">
          <a:extLst>
            <a:ext uri="{FF2B5EF4-FFF2-40B4-BE49-F238E27FC236}">
              <a16:creationId xmlns:a16="http://schemas.microsoft.com/office/drawing/2014/main" id="{AEC7F6B1-7C8B-4FE8-B4F2-6590CE014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5324475"/>
          <a:ext cx="180000" cy="180000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26</xdr:row>
      <xdr:rowOff>9525</xdr:rowOff>
    </xdr:from>
    <xdr:ext cx="180000" cy="180000"/>
    <xdr:pic>
      <xdr:nvPicPr>
        <xdr:cNvPr id="50" name="Imagen 49">
          <a:extLst>
            <a:ext uri="{FF2B5EF4-FFF2-40B4-BE49-F238E27FC236}">
              <a16:creationId xmlns:a16="http://schemas.microsoft.com/office/drawing/2014/main" id="{03759C29-F23E-4E90-829F-F35790AA0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5524500"/>
          <a:ext cx="180000" cy="180000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27</xdr:row>
      <xdr:rowOff>9525</xdr:rowOff>
    </xdr:from>
    <xdr:ext cx="180000" cy="180000"/>
    <xdr:pic>
      <xdr:nvPicPr>
        <xdr:cNvPr id="51" name="Imagen 50">
          <a:extLst>
            <a:ext uri="{FF2B5EF4-FFF2-40B4-BE49-F238E27FC236}">
              <a16:creationId xmlns:a16="http://schemas.microsoft.com/office/drawing/2014/main" id="{729F8E6C-FA56-437E-815C-62091D49A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5724525"/>
          <a:ext cx="180000" cy="180000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28</xdr:row>
      <xdr:rowOff>9525</xdr:rowOff>
    </xdr:from>
    <xdr:ext cx="180000" cy="180000"/>
    <xdr:pic>
      <xdr:nvPicPr>
        <xdr:cNvPr id="52" name="Imagen 51">
          <a:extLst>
            <a:ext uri="{FF2B5EF4-FFF2-40B4-BE49-F238E27FC236}">
              <a16:creationId xmlns:a16="http://schemas.microsoft.com/office/drawing/2014/main" id="{BFC9980D-8DF6-44BC-BA1F-067398B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900" y="5924550"/>
          <a:ext cx="180000" cy="180000"/>
        </a:xfrm>
        <a:prstGeom prst="rect">
          <a:avLst/>
        </a:prstGeom>
      </xdr:spPr>
    </xdr:pic>
    <xdr:clientData/>
  </xdr:oneCellAnchor>
  <xdr:oneCellAnchor>
    <xdr:from>
      <xdr:col>7</xdr:col>
      <xdr:colOff>19050</xdr:colOff>
      <xdr:row>27</xdr:row>
      <xdr:rowOff>9525</xdr:rowOff>
    </xdr:from>
    <xdr:ext cx="180000" cy="180000"/>
    <xdr:pic>
      <xdr:nvPicPr>
        <xdr:cNvPr id="53" name="Imagen 52">
          <a:extLst>
            <a:ext uri="{FF2B5EF4-FFF2-40B4-BE49-F238E27FC236}">
              <a16:creationId xmlns:a16="http://schemas.microsoft.com/office/drawing/2014/main" id="{D2BAE227-311B-4854-AAAE-936DB1F7A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5324475"/>
          <a:ext cx="180000" cy="180000"/>
        </a:xfrm>
        <a:prstGeom prst="rect">
          <a:avLst/>
        </a:prstGeom>
      </xdr:spPr>
    </xdr:pic>
    <xdr:clientData/>
  </xdr:oneCellAnchor>
  <xdr:oneCellAnchor>
    <xdr:from>
      <xdr:col>7</xdr:col>
      <xdr:colOff>19050</xdr:colOff>
      <xdr:row>28</xdr:row>
      <xdr:rowOff>9525</xdr:rowOff>
    </xdr:from>
    <xdr:ext cx="180000" cy="180000"/>
    <xdr:pic>
      <xdr:nvPicPr>
        <xdr:cNvPr id="54" name="Imagen 53">
          <a:extLst>
            <a:ext uri="{FF2B5EF4-FFF2-40B4-BE49-F238E27FC236}">
              <a16:creationId xmlns:a16="http://schemas.microsoft.com/office/drawing/2014/main" id="{BEC1E48D-C5DB-419C-A423-473986A4A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5524500"/>
          <a:ext cx="180000" cy="180000"/>
        </a:xfrm>
        <a:prstGeom prst="rect">
          <a:avLst/>
        </a:prstGeom>
      </xdr:spPr>
    </xdr:pic>
    <xdr:clientData/>
  </xdr:oneCellAnchor>
  <xdr:oneCellAnchor>
    <xdr:from>
      <xdr:col>7</xdr:col>
      <xdr:colOff>19050</xdr:colOff>
      <xdr:row>29</xdr:row>
      <xdr:rowOff>9525</xdr:rowOff>
    </xdr:from>
    <xdr:ext cx="180000" cy="180000"/>
    <xdr:pic>
      <xdr:nvPicPr>
        <xdr:cNvPr id="55" name="Imagen 54">
          <a:extLst>
            <a:ext uri="{FF2B5EF4-FFF2-40B4-BE49-F238E27FC236}">
              <a16:creationId xmlns:a16="http://schemas.microsoft.com/office/drawing/2014/main" id="{1641BA58-1C11-4262-AEFA-E2E21E027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5724525"/>
          <a:ext cx="180000" cy="180000"/>
        </a:xfrm>
        <a:prstGeom prst="rect">
          <a:avLst/>
        </a:prstGeom>
      </xdr:spPr>
    </xdr:pic>
    <xdr:clientData/>
  </xdr:oneCellAnchor>
  <xdr:oneCellAnchor>
    <xdr:from>
      <xdr:col>7</xdr:col>
      <xdr:colOff>19050</xdr:colOff>
      <xdr:row>30</xdr:row>
      <xdr:rowOff>9525</xdr:rowOff>
    </xdr:from>
    <xdr:ext cx="180000" cy="180000"/>
    <xdr:pic>
      <xdr:nvPicPr>
        <xdr:cNvPr id="56" name="Imagen 55">
          <a:extLst>
            <a:ext uri="{FF2B5EF4-FFF2-40B4-BE49-F238E27FC236}">
              <a16:creationId xmlns:a16="http://schemas.microsoft.com/office/drawing/2014/main" id="{AE2E4B4C-81A6-4867-B113-59545AAE6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6325" y="5924550"/>
          <a:ext cx="180000" cy="180000"/>
        </a:xfrm>
        <a:prstGeom prst="rect">
          <a:avLst/>
        </a:prstGeom>
      </xdr:spPr>
    </xdr:pic>
    <xdr:clientData/>
  </xdr:oneCellAnchor>
  <xdr:oneCellAnchor>
    <xdr:from>
      <xdr:col>10</xdr:col>
      <xdr:colOff>381000</xdr:colOff>
      <xdr:row>21</xdr:row>
      <xdr:rowOff>66675</xdr:rowOff>
    </xdr:from>
    <xdr:ext cx="2708306" cy="311496"/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322CFE16-21D1-424F-A3D5-14FAFB7F2A54}"/>
            </a:ext>
          </a:extLst>
        </xdr:cNvPr>
        <xdr:cNvSpPr txBox="1"/>
      </xdr:nvSpPr>
      <xdr:spPr>
        <a:xfrm>
          <a:off x="8124825" y="4200525"/>
          <a:ext cx="27083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1400" b="1">
              <a:solidFill>
                <a:sysClr val="windowText" lastClr="000000"/>
              </a:solidFill>
            </a:rPr>
            <a:t>Campeones </a:t>
          </a:r>
          <a:r>
            <a:rPr lang="es-UY" sz="1400" b="1" baseline="0">
              <a:solidFill>
                <a:sysClr val="windowText" lastClr="000000"/>
              </a:solidFill>
            </a:rPr>
            <a:t>del mundo anteriores</a:t>
          </a:r>
          <a:endParaRPr lang="es-UY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11</xdr:col>
      <xdr:colOff>276225</xdr:colOff>
      <xdr:row>0</xdr:row>
      <xdr:rowOff>400050</xdr:rowOff>
    </xdr:from>
    <xdr:ext cx="2364815" cy="311496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EAC154DA-F23C-4140-BFA1-BD6B104A009B}"/>
            </a:ext>
          </a:extLst>
        </xdr:cNvPr>
        <xdr:cNvSpPr txBox="1"/>
      </xdr:nvSpPr>
      <xdr:spPr>
        <a:xfrm>
          <a:off x="8467725" y="400050"/>
          <a:ext cx="236481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1400" b="1">
              <a:solidFill>
                <a:sysClr val="windowText" lastClr="000000"/>
              </a:solidFill>
            </a:rPr>
            <a:t>Países anfitriones y mascotas</a:t>
          </a:r>
        </a:p>
      </xdr:txBody>
    </xdr:sp>
    <xdr:clientData/>
  </xdr:oneCellAnchor>
  <xdr:twoCellAnchor editAs="oneCell">
    <xdr:from>
      <xdr:col>14</xdr:col>
      <xdr:colOff>142875</xdr:colOff>
      <xdr:row>0</xdr:row>
      <xdr:rowOff>57150</xdr:rowOff>
    </xdr:from>
    <xdr:to>
      <xdr:col>18</xdr:col>
      <xdr:colOff>22875</xdr:colOff>
      <xdr:row>0</xdr:row>
      <xdr:rowOff>326397</xdr:rowOff>
    </xdr:to>
    <xdr:pic>
      <xdr:nvPicPr>
        <xdr:cNvPr id="61" name="Imagen 60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9CACE9A9-72EF-45F3-B6AD-C9E2DA216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9375" y="57150"/>
          <a:ext cx="1404000" cy="269247"/>
        </a:xfrm>
        <a:prstGeom prst="rect">
          <a:avLst/>
        </a:prstGeom>
      </xdr:spPr>
    </xdr:pic>
    <xdr:clientData/>
  </xdr:twoCellAnchor>
  <xdr:oneCellAnchor>
    <xdr:from>
      <xdr:col>0</xdr:col>
      <xdr:colOff>323850</xdr:colOff>
      <xdr:row>17</xdr:row>
      <xdr:rowOff>66675</xdr:rowOff>
    </xdr:from>
    <xdr:ext cx="1667251" cy="311496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88D632D3-0C80-4112-9213-D2E0859ECC08}"/>
            </a:ext>
          </a:extLst>
        </xdr:cNvPr>
        <xdr:cNvSpPr txBox="1"/>
      </xdr:nvSpPr>
      <xdr:spPr>
        <a:xfrm>
          <a:off x="323850" y="3438525"/>
          <a:ext cx="166725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1400" b="1">
              <a:solidFill>
                <a:sysClr val="windowText" lastClr="000000"/>
              </a:solidFill>
            </a:rPr>
            <a:t>Países</a:t>
          </a:r>
          <a:r>
            <a:rPr lang="es-UY" sz="1400" b="1" baseline="0">
              <a:solidFill>
                <a:sysClr val="windowText" lastClr="000000"/>
              </a:solidFill>
            </a:rPr>
            <a:t> participantes</a:t>
          </a:r>
          <a:endParaRPr lang="es-UY" sz="14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9</xdr:col>
      <xdr:colOff>38100</xdr:colOff>
      <xdr:row>18</xdr:row>
      <xdr:rowOff>171449</xdr:rowOff>
    </xdr:from>
    <xdr:to>
      <xdr:col>10</xdr:col>
      <xdr:colOff>276225</xdr:colOff>
      <xdr:row>30</xdr:row>
      <xdr:rowOff>200024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7BA091F-42E9-1EC5-51C3-8C078481D556}"/>
            </a:ext>
          </a:extLst>
        </xdr:cNvPr>
        <xdr:cNvSpPr txBox="1"/>
      </xdr:nvSpPr>
      <xdr:spPr>
        <a:xfrm>
          <a:off x="6400800" y="3733799"/>
          <a:ext cx="1619250" cy="2371725"/>
        </a:xfrm>
        <a:prstGeom prst="rect">
          <a:avLst/>
        </a:prstGeom>
        <a:solidFill>
          <a:srgbClr val="EDF8C4"/>
        </a:solidFill>
        <a:ln w="9525" cmpd="sng">
          <a:solidFill>
            <a:srgbClr val="CBDB0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primera Copa del Mundo se celebró en </a:t>
          </a:r>
          <a:r>
            <a:rPr lang="es-U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Uruguay</a:t>
          </a:r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en </a:t>
          </a:r>
          <a:r>
            <a:rPr lang="es-U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1930</a:t>
          </a:r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con 13 equipos participantes.</a:t>
          </a:r>
        </a:p>
        <a:p>
          <a:endParaRPr lang="es-UY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</a:t>
          </a:r>
          <a:r>
            <a:rPr lang="es-U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1942</a:t>
          </a:r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 </a:t>
          </a:r>
          <a:r>
            <a:rPr lang="es-U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1946</a:t>
          </a:r>
          <a:r>
            <a:rPr lang="es-UY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el troneo no se llevó a cabo </a:t>
          </a:r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causa</a:t>
          </a:r>
          <a:r>
            <a:rPr lang="es-UY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</a:t>
          </a:r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 Segunda Guerra Mundial.</a:t>
          </a:r>
        </a:p>
        <a:p>
          <a:endParaRPr lang="es-UY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edición de 2022 atrajo a más de </a:t>
          </a:r>
          <a:r>
            <a:rPr lang="es-U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s-UY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U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000 millones de espectadores</a:t>
          </a:r>
          <a:r>
            <a:rPr lang="es-UY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s-UY" sz="1100"/>
        </a:p>
      </xdr:txBody>
    </xdr:sp>
    <xdr:clientData/>
  </xdr:twoCellAnchor>
  <xdr:oneCellAnchor>
    <xdr:from>
      <xdr:col>8</xdr:col>
      <xdr:colOff>104775</xdr:colOff>
      <xdr:row>17</xdr:row>
      <xdr:rowOff>66675</xdr:rowOff>
    </xdr:from>
    <xdr:ext cx="1586460" cy="311496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36A8BCEE-3785-4B2C-9F37-116609BE01A9}"/>
            </a:ext>
          </a:extLst>
        </xdr:cNvPr>
        <xdr:cNvSpPr txBox="1"/>
      </xdr:nvSpPr>
      <xdr:spPr>
        <a:xfrm>
          <a:off x="6353175" y="3438525"/>
          <a:ext cx="15864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1400" b="1">
              <a:solidFill>
                <a:sysClr val="windowText" lastClr="000000"/>
              </a:solidFill>
            </a:rPr>
            <a:t>Algunos datos más</a:t>
          </a:r>
        </a:p>
      </xdr:txBody>
    </xdr:sp>
    <xdr:clientData/>
  </xdr:oneCellAnchor>
  <xdr:twoCellAnchor>
    <xdr:from>
      <xdr:col>14</xdr:col>
      <xdr:colOff>0</xdr:colOff>
      <xdr:row>18</xdr:row>
      <xdr:rowOff>104774</xdr:rowOff>
    </xdr:from>
    <xdr:to>
      <xdr:col>15</xdr:col>
      <xdr:colOff>314326</xdr:colOff>
      <xdr:row>19</xdr:row>
      <xdr:rowOff>95249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91D52651-0AF3-5D8C-9A8E-D0A573208604}"/>
            </a:ext>
          </a:extLst>
        </xdr:cNvPr>
        <xdr:cNvSpPr txBox="1"/>
      </xdr:nvSpPr>
      <xdr:spPr>
        <a:xfrm>
          <a:off x="10096500" y="3667124"/>
          <a:ext cx="695326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Y" sz="800"/>
            <a:t>Foto: FIFA</a:t>
          </a:r>
        </a:p>
      </xdr:txBody>
    </xdr:sp>
    <xdr:clientData/>
  </xdr:twoCellAnchor>
  <xdr:twoCellAnchor editAs="oneCell">
    <xdr:from>
      <xdr:col>7</xdr:col>
      <xdr:colOff>1200150</xdr:colOff>
      <xdr:row>0</xdr:row>
      <xdr:rowOff>47625</xdr:rowOff>
    </xdr:from>
    <xdr:to>
      <xdr:col>10</xdr:col>
      <xdr:colOff>19050</xdr:colOff>
      <xdr:row>0</xdr:row>
      <xdr:rowOff>347589</xdr:rowOff>
    </xdr:to>
    <xdr:pic>
      <xdr:nvPicPr>
        <xdr:cNvPr id="45" name="Imagen 4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FCE62740-3BA0-45F6-B2E0-BC95D94BC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47625"/>
          <a:ext cx="1695450" cy="29996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3</xdr:row>
      <xdr:rowOff>133350</xdr:rowOff>
    </xdr:from>
    <xdr:ext cx="2880000" cy="219075"/>
    <xdr:sp macro="" textlink="">
      <xdr:nvSpPr>
        <xdr:cNvPr id="3" name="Cuadro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CFEC2-F9FA-8DB8-9208-5FF6089D2F7C}"/>
            </a:ext>
          </a:extLst>
        </xdr:cNvPr>
        <xdr:cNvSpPr txBox="1"/>
      </xdr:nvSpPr>
      <xdr:spPr>
        <a:xfrm>
          <a:off x="323850" y="1752600"/>
          <a:ext cx="2880000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b">
          <a:noAutofit/>
        </a:bodyPr>
        <a:lstStyle/>
        <a:p>
          <a:r>
            <a:rPr lang="es-UY" sz="1200" b="1" u="sng">
              <a:solidFill>
                <a:srgbClr val="4B811B"/>
              </a:solidFill>
            </a:rPr>
            <a:t>Haz clic aquí para averiguar tu UTC local</a:t>
          </a:r>
        </a:p>
      </xdr:txBody>
    </xdr:sp>
    <xdr:clientData/>
  </xdr:oneCellAnchor>
  <xdr:twoCellAnchor editAs="oneCell">
    <xdr:from>
      <xdr:col>1</xdr:col>
      <xdr:colOff>0</xdr:colOff>
      <xdr:row>0</xdr:row>
      <xdr:rowOff>95250</xdr:rowOff>
    </xdr:from>
    <xdr:to>
      <xdr:col>1</xdr:col>
      <xdr:colOff>1630261</xdr:colOff>
      <xdr:row>1</xdr:row>
      <xdr:rowOff>4551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481442-FE66-4E3B-A5FA-CE417854B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5250"/>
          <a:ext cx="1630261" cy="957051"/>
        </a:xfrm>
        <a:prstGeom prst="rect">
          <a:avLst/>
        </a:prstGeom>
      </xdr:spPr>
    </xdr:pic>
    <xdr:clientData/>
  </xdr:twoCellAnchor>
  <xdr:oneCellAnchor>
    <xdr:from>
      <xdr:col>0</xdr:col>
      <xdr:colOff>323850</xdr:colOff>
      <xdr:row>9</xdr:row>
      <xdr:rowOff>38100</xdr:rowOff>
    </xdr:from>
    <xdr:ext cx="3600000" cy="200025"/>
    <xdr:sp macro="" textlink="">
      <xdr:nvSpPr>
        <xdr:cNvPr id="2" name="CuadroTexto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C8A73A-87C5-4FFB-9A21-C035B5C0B5E3}"/>
            </a:ext>
          </a:extLst>
        </xdr:cNvPr>
        <xdr:cNvSpPr txBox="1"/>
      </xdr:nvSpPr>
      <xdr:spPr>
        <a:xfrm>
          <a:off x="323850" y="2800350"/>
          <a:ext cx="360000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b">
          <a:noAutofit/>
        </a:bodyPr>
        <a:lstStyle/>
        <a:p>
          <a:r>
            <a:rPr lang="es-UY" sz="900" u="sng">
              <a:solidFill>
                <a:srgbClr val="4B811B"/>
              </a:solidFill>
            </a:rPr>
            <a:t>Haz clic aquí para consultar</a:t>
          </a:r>
          <a:r>
            <a:rPr lang="es-UY" sz="900" u="sng" baseline="0">
              <a:solidFill>
                <a:srgbClr val="4B811B"/>
              </a:solidFill>
            </a:rPr>
            <a:t> los horarios del sitio oficial de FIFA</a:t>
          </a:r>
          <a:endParaRPr lang="es-UY" sz="900" u="sng">
            <a:solidFill>
              <a:srgbClr val="4B811B"/>
            </a:solidFill>
          </a:endParaRP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155992</xdr:colOff>
      <xdr:row>1</xdr:row>
      <xdr:rowOff>123825</xdr:rowOff>
    </xdr:from>
    <xdr:to>
      <xdr:col>3</xdr:col>
      <xdr:colOff>715139</xdr:colOff>
      <xdr:row>21</xdr:row>
      <xdr:rowOff>8392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DD02D26-D28E-AFC8-C552-C0BE0FAF8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992" y="314325"/>
          <a:ext cx="2845147" cy="3694567"/>
        </a:xfrm>
        <a:prstGeom prst="rect">
          <a:avLst/>
        </a:prstGeom>
      </xdr:spPr>
    </xdr:pic>
    <xdr:clientData/>
  </xdr:twoCellAnchor>
  <xdr:twoCellAnchor>
    <xdr:from>
      <xdr:col>4</xdr:col>
      <xdr:colOff>205780</xdr:colOff>
      <xdr:row>0</xdr:row>
      <xdr:rowOff>71437</xdr:rowOff>
    </xdr:from>
    <xdr:to>
      <xdr:col>10</xdr:col>
      <xdr:colOff>491530</xdr:colOff>
      <xdr:row>21</xdr:row>
      <xdr:rowOff>161925</xdr:rowOff>
    </xdr:to>
    <xdr:sp macro="" textlink="">
      <xdr:nvSpPr>
        <xdr:cNvPr id="29" name="Elipse 28">
          <a:extLst>
            <a:ext uri="{FF2B5EF4-FFF2-40B4-BE49-F238E27FC236}">
              <a16:creationId xmlns:a16="http://schemas.microsoft.com/office/drawing/2014/main" id="{2304A55B-AF04-C295-CFFD-ABAD34EB85A3}"/>
            </a:ext>
          </a:extLst>
        </xdr:cNvPr>
        <xdr:cNvSpPr/>
      </xdr:nvSpPr>
      <xdr:spPr>
        <a:xfrm>
          <a:off x="3253780" y="71437"/>
          <a:ext cx="4572000" cy="4090988"/>
        </a:xfrm>
        <a:prstGeom prst="ellipse">
          <a:avLst/>
        </a:prstGeom>
        <a:solidFill>
          <a:srgbClr val="FFFFFF">
            <a:alpha val="89804"/>
          </a:srgbClr>
        </a:solidFill>
        <a:ln>
          <a:solidFill>
            <a:srgbClr val="CBDB0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UY" sz="1100"/>
        </a:p>
      </xdr:txBody>
    </xdr:sp>
    <xdr:clientData/>
  </xdr:twoCellAnchor>
  <xdr:oneCellAnchor>
    <xdr:from>
      <xdr:col>6</xdr:col>
      <xdr:colOff>141721</xdr:colOff>
      <xdr:row>3</xdr:row>
      <xdr:rowOff>114299</xdr:rowOff>
    </xdr:from>
    <xdr:ext cx="1652119" cy="233205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/>
      </xdr:nvSpPr>
      <xdr:spPr>
        <a:xfrm>
          <a:off x="4713721" y="685799"/>
          <a:ext cx="165211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Todos</a:t>
          </a:r>
          <a:r>
            <a:rPr lang="es-ES" sz="900" b="1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los derechos reservados</a:t>
          </a:r>
          <a:endParaRPr lang="es-ES" sz="900" b="1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xdr:txBody>
    </xdr:sp>
    <xdr:clientData/>
  </xdr:oneCellAnchor>
  <xdr:oneCellAnchor>
    <xdr:from>
      <xdr:col>6</xdr:col>
      <xdr:colOff>74555</xdr:colOff>
      <xdr:row>17</xdr:row>
      <xdr:rowOff>177458</xdr:rowOff>
    </xdr:from>
    <xdr:ext cx="1786451" cy="280205"/>
    <xdr:sp macro="" textlink="">
      <xdr:nvSpPr>
        <xdr:cNvPr id="16" name="CuadroText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/>
      </xdr:nvSpPr>
      <xdr:spPr>
        <a:xfrm>
          <a:off x="4646555" y="3415958"/>
          <a:ext cx="178645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s-ES" sz="1200" b="1" u="sng">
              <a:solidFill>
                <a:srgbClr val="4B811B"/>
              </a:solidFill>
            </a:rPr>
            <a:t>Aprende más sobre Excel</a:t>
          </a:r>
        </a:p>
      </xdr:txBody>
    </xdr:sp>
    <xdr:clientData/>
  </xdr:oneCellAnchor>
  <xdr:oneCellAnchor>
    <xdr:from>
      <xdr:col>6</xdr:col>
      <xdr:colOff>333728</xdr:colOff>
      <xdr:row>4</xdr:row>
      <xdr:rowOff>28574</xdr:rowOff>
    </xdr:from>
    <xdr:ext cx="1268104" cy="264560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4905728" y="790574"/>
          <a:ext cx="12681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 b="0">
              <a:solidFill>
                <a:schemeClr val="tx1">
                  <a:lumMod val="75000"/>
                  <a:lumOff val="25000"/>
                </a:schemeClr>
              </a:solidFill>
            </a:rPr>
            <a:t>©2026 ClasesExcel</a:t>
          </a:r>
        </a:p>
      </xdr:txBody>
    </xdr:sp>
    <xdr:clientData/>
  </xdr:oneCellAnchor>
  <xdr:oneCellAnchor>
    <xdr:from>
      <xdr:col>5</xdr:col>
      <xdr:colOff>89595</xdr:colOff>
      <xdr:row>6</xdr:row>
      <xdr:rowOff>85725</xdr:rowOff>
    </xdr:from>
    <xdr:ext cx="3280370" cy="280205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3899595" y="1228725"/>
          <a:ext cx="328037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200" b="1"/>
            <a:t>Autor</a:t>
          </a:r>
          <a:r>
            <a:rPr lang="es-ES" sz="1200"/>
            <a:t>: </a:t>
          </a:r>
          <a:r>
            <a:rPr lang="es-ES" sz="1200" baseline="0"/>
            <a:t>Ariel Martínez Romano para Clases Excel© </a:t>
          </a:r>
          <a:endParaRPr lang="es-ES" sz="1200"/>
        </a:p>
      </xdr:txBody>
    </xdr:sp>
    <xdr:clientData/>
  </xdr:oneCellAnchor>
  <xdr:twoCellAnchor>
    <xdr:from>
      <xdr:col>5</xdr:col>
      <xdr:colOff>89595</xdr:colOff>
      <xdr:row>7</xdr:row>
      <xdr:rowOff>147215</xdr:rowOff>
    </xdr:from>
    <xdr:to>
      <xdr:col>8</xdr:col>
      <xdr:colOff>393345</xdr:colOff>
      <xdr:row>9</xdr:row>
      <xdr:rowOff>47015</xdr:rowOff>
    </xdr:to>
    <xdr:sp macro="" textlink="">
      <xdr:nvSpPr>
        <xdr:cNvPr id="21" name="3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/>
      </xdr:nvSpPr>
      <xdr:spPr>
        <a:xfrm>
          <a:off x="3899595" y="1480715"/>
          <a:ext cx="2304000" cy="280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ES" sz="1200" b="1">
              <a:solidFill>
                <a:sysClr val="windowText" lastClr="000000"/>
              </a:solidFill>
            </a:rPr>
            <a:t>Web</a:t>
          </a:r>
          <a:r>
            <a:rPr lang="es-ES" sz="1200">
              <a:solidFill>
                <a:sysClr val="windowText" lastClr="000000"/>
              </a:solidFill>
            </a:rPr>
            <a:t>: </a:t>
          </a:r>
          <a:r>
            <a:rPr lang="es-ES" sz="1200" u="sng">
              <a:solidFill>
                <a:srgbClr val="4B811B"/>
              </a:solidFill>
            </a:rPr>
            <a:t>https://clasesexcel.com/</a:t>
          </a:r>
        </a:p>
      </xdr:txBody>
    </xdr:sp>
    <xdr:clientData/>
  </xdr:twoCellAnchor>
  <xdr:twoCellAnchor>
    <xdr:from>
      <xdr:col>11</xdr:col>
      <xdr:colOff>400050</xdr:colOff>
      <xdr:row>0</xdr:row>
      <xdr:rowOff>71437</xdr:rowOff>
    </xdr:from>
    <xdr:to>
      <xdr:col>15</xdr:col>
      <xdr:colOff>276225</xdr:colOff>
      <xdr:row>21</xdr:row>
      <xdr:rowOff>160537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/>
      </xdr:nvSpPr>
      <xdr:spPr>
        <a:xfrm>
          <a:off x="8496300" y="71437"/>
          <a:ext cx="2924175" cy="4089600"/>
        </a:xfrm>
        <a:prstGeom prst="rect">
          <a:avLst/>
        </a:prstGeom>
        <a:solidFill>
          <a:srgbClr val="305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11</xdr:col>
      <xdr:colOff>428623</xdr:colOff>
      <xdr:row>15</xdr:row>
      <xdr:rowOff>123825</xdr:rowOff>
    </xdr:from>
    <xdr:ext cx="2880000" cy="405367"/>
    <xdr:sp macro="" textlink="">
      <xdr:nvSpPr>
        <xdr:cNvPr id="12" name="CuadroText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/>
      </xdr:nvSpPr>
      <xdr:spPr>
        <a:xfrm>
          <a:off x="8524873" y="2981325"/>
          <a:ext cx="288000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000">
              <a:solidFill>
                <a:schemeClr val="bg1"/>
              </a:solidFill>
            </a:rPr>
            <a:t>Las imágenes de las banderas pertenecen al</a:t>
          </a:r>
        </a:p>
        <a:p>
          <a:r>
            <a:rPr lang="es-ES" sz="1000">
              <a:solidFill>
                <a:schemeClr val="bg1"/>
              </a:solidFill>
            </a:rPr>
            <a:t>paquete </a:t>
          </a:r>
          <a:r>
            <a:rPr lang="es-ES" sz="1000" baseline="0">
              <a:solidFill>
                <a:schemeClr val="bg1"/>
              </a:solidFill>
            </a:rPr>
            <a:t>Flag Icons de: </a:t>
          </a:r>
          <a:r>
            <a:rPr lang="ru-RU" sz="1000" u="sng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icondrawer.com</a:t>
          </a:r>
          <a:endParaRPr lang="es-ES" sz="1100" u="sng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11</xdr:col>
      <xdr:colOff>428623</xdr:colOff>
      <xdr:row>17</xdr:row>
      <xdr:rowOff>133350</xdr:rowOff>
    </xdr:from>
    <xdr:ext cx="2880000" cy="561885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/>
      </xdr:nvSpPr>
      <xdr:spPr>
        <a:xfrm>
          <a:off x="8524873" y="3371850"/>
          <a:ext cx="2880000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000" b="0" i="0" u="none" strike="noStrike" baseline="0">
              <a:solidFill>
                <a:schemeClr val="bg1"/>
              </a:solidFill>
              <a:latin typeface="+mn-lt"/>
              <a:ea typeface="+mn-ea"/>
              <a:cs typeface="+mn-cs"/>
            </a:rPr>
            <a:t>Todas las marcas, logotipos y cualquier otro material</a:t>
          </a:r>
        </a:p>
        <a:p>
          <a:r>
            <a:rPr lang="es-ES" sz="1000" b="0" i="0" u="none" strike="noStrike" baseline="0">
              <a:solidFill>
                <a:schemeClr val="bg1"/>
              </a:solidFill>
              <a:latin typeface="+mn-lt"/>
              <a:ea typeface="+mn-ea"/>
              <a:cs typeface="+mn-cs"/>
            </a:rPr>
            <a:t>gráfico relacionado con la Copa Mundial FIFA 2026</a:t>
          </a:r>
        </a:p>
        <a:p>
          <a:r>
            <a:rPr lang="es-ES" sz="1000" b="0" i="0" u="none" strike="noStrike" baseline="0">
              <a:solidFill>
                <a:schemeClr val="bg1"/>
              </a:solidFill>
              <a:latin typeface="+mn-lt"/>
              <a:ea typeface="+mn-ea"/>
              <a:cs typeface="+mn-cs"/>
            </a:rPr>
            <a:t>es propiedad exclusiva de sus respectivos dueños.</a:t>
          </a:r>
          <a:endParaRPr lang="es-ES" sz="11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428623</xdr:colOff>
      <xdr:row>1</xdr:row>
      <xdr:rowOff>95250</xdr:rowOff>
    </xdr:from>
    <xdr:ext cx="2880000" cy="2378215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/>
      </xdr:nvSpPr>
      <xdr:spPr>
        <a:xfrm>
          <a:off x="8524873" y="285750"/>
          <a:ext cx="2880000" cy="2378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100">
              <a:solidFill>
                <a:schemeClr val="bg1"/>
              </a:solidFill>
            </a:rPr>
            <a:t>Esta publicación contiene material protegido y su distribución es gratuita.</a:t>
          </a:r>
        </a:p>
        <a:p>
          <a:endParaRPr lang="es-ES" sz="700">
            <a:solidFill>
              <a:schemeClr val="bg1"/>
            </a:solidFill>
          </a:endParaRPr>
        </a:p>
        <a:p>
          <a:r>
            <a:rPr lang="es-ES" sz="1100">
              <a:solidFill>
                <a:schemeClr val="bg1"/>
              </a:solidFill>
            </a:rPr>
            <a:t>Queda expresamente prohibida su venta, alquiler y todo otro tipo de comercialización bajo ninguna circunstancia.</a:t>
          </a:r>
        </a:p>
        <a:p>
          <a:endParaRPr lang="es-ES" sz="700">
            <a:solidFill>
              <a:schemeClr val="bg1"/>
            </a:solidFill>
          </a:endParaRPr>
        </a:p>
        <a:p>
          <a:r>
            <a:rPr lang="es-ES" sz="1100">
              <a:solidFill>
                <a:schemeClr val="bg1"/>
              </a:solidFill>
            </a:rPr>
            <a:t>El uso no autorizado de este documento o del material que en él se presenta, puede dar lugar a una reclamación por daños y perjuicios y/o a cualquier otra acción legal que Clases Excel estime conveniente para asegurar la defensa de sus derechos.</a:t>
          </a:r>
        </a:p>
        <a:p>
          <a:r>
            <a:rPr lang="es-ES" sz="1100">
              <a:solidFill>
                <a:schemeClr val="bg1"/>
              </a:solidFill>
            </a:rPr>
            <a:t>............................................................................</a:t>
          </a:r>
        </a:p>
      </xdr:txBody>
    </xdr:sp>
    <xdr:clientData/>
  </xdr:oneCellAnchor>
  <xdr:twoCellAnchor>
    <xdr:from>
      <xdr:col>12</xdr:col>
      <xdr:colOff>685799</xdr:colOff>
      <xdr:row>11</xdr:row>
      <xdr:rowOff>114300</xdr:rowOff>
    </xdr:from>
    <xdr:to>
      <xdr:col>15</xdr:col>
      <xdr:colOff>209550</xdr:colOff>
      <xdr:row>13</xdr:row>
      <xdr:rowOff>38100</xdr:rowOff>
    </xdr:to>
    <xdr:sp macro="" textlink="">
      <xdr:nvSpPr>
        <xdr:cNvPr id="27" name="8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/>
      </xdr:nvSpPr>
      <xdr:spPr>
        <a:xfrm>
          <a:off x="9544049" y="2209800"/>
          <a:ext cx="1809751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u="sng">
              <a:solidFill>
                <a:srgbClr val="B0EA00"/>
              </a:solidFill>
            </a:rPr>
            <a:t>Términos y condiciones</a:t>
          </a:r>
        </a:p>
      </xdr:txBody>
    </xdr:sp>
    <xdr:clientData/>
  </xdr:twoCellAnchor>
  <xdr:twoCellAnchor>
    <xdr:from>
      <xdr:col>5</xdr:col>
      <xdr:colOff>89595</xdr:colOff>
      <xdr:row>9</xdr:row>
      <xdr:rowOff>18800</xdr:rowOff>
    </xdr:from>
    <xdr:to>
      <xdr:col>9</xdr:col>
      <xdr:colOff>356296</xdr:colOff>
      <xdr:row>10</xdr:row>
      <xdr:rowOff>109100</xdr:rowOff>
    </xdr:to>
    <xdr:sp macro="" textlink="">
      <xdr:nvSpPr>
        <xdr:cNvPr id="23" name="3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/>
      </xdr:nvSpPr>
      <xdr:spPr>
        <a:xfrm>
          <a:off x="3899595" y="1733300"/>
          <a:ext cx="3028951" cy="280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ES" sz="1200" b="1">
              <a:solidFill>
                <a:sysClr val="windowText" lastClr="000000"/>
              </a:solidFill>
            </a:rPr>
            <a:t>Contacto</a:t>
          </a:r>
          <a:r>
            <a:rPr lang="es-ES" sz="1200">
              <a:solidFill>
                <a:sysClr val="windowText" lastClr="000000"/>
              </a:solidFill>
            </a:rPr>
            <a:t>: </a:t>
          </a:r>
          <a:r>
            <a:rPr lang="es-ES" sz="1200" b="0" i="0" u="sng">
              <a:solidFill>
                <a:srgbClr val="4B811B"/>
              </a:solidFill>
              <a:effectLst/>
              <a:latin typeface="+mn-lt"/>
              <a:ea typeface="+mn-ea"/>
              <a:cs typeface="+mn-cs"/>
            </a:rPr>
            <a:t>https://clasesexcel.com/contacto/</a:t>
          </a:r>
          <a:endParaRPr lang="es-ES" sz="1200" u="sng">
            <a:solidFill>
              <a:srgbClr val="4B811B"/>
            </a:solidFill>
          </a:endParaRPr>
        </a:p>
      </xdr:txBody>
    </xdr:sp>
    <xdr:clientData/>
  </xdr:twoCellAnchor>
  <xdr:twoCellAnchor>
    <xdr:from>
      <xdr:col>5</xdr:col>
      <xdr:colOff>89595</xdr:colOff>
      <xdr:row>10</xdr:row>
      <xdr:rowOff>80885</xdr:rowOff>
    </xdr:from>
    <xdr:to>
      <xdr:col>8</xdr:col>
      <xdr:colOff>393345</xdr:colOff>
      <xdr:row>11</xdr:row>
      <xdr:rowOff>171185</xdr:rowOff>
    </xdr:to>
    <xdr:sp macro="" textlink="">
      <xdr:nvSpPr>
        <xdr:cNvPr id="24" name="3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/>
      </xdr:nvSpPr>
      <xdr:spPr>
        <a:xfrm>
          <a:off x="3899595" y="1985885"/>
          <a:ext cx="2304000" cy="280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ES" sz="1200" b="1">
              <a:solidFill>
                <a:sysClr val="windowText" lastClr="000000"/>
              </a:solidFill>
            </a:rPr>
            <a:t>Email</a:t>
          </a:r>
          <a:r>
            <a:rPr lang="es-ES" sz="1200">
              <a:solidFill>
                <a:sysClr val="windowText" lastClr="000000"/>
              </a:solidFill>
            </a:rPr>
            <a:t>: </a:t>
          </a:r>
          <a:r>
            <a:rPr lang="es-ES" sz="1200" u="sng">
              <a:solidFill>
                <a:srgbClr val="4B811B"/>
              </a:solidFill>
            </a:rPr>
            <a:t>info@clasesexcel.com</a:t>
          </a:r>
        </a:p>
      </xdr:txBody>
    </xdr:sp>
    <xdr:clientData/>
  </xdr:twoCellAnchor>
  <xdr:oneCellAnchor>
    <xdr:from>
      <xdr:col>5</xdr:col>
      <xdr:colOff>89595</xdr:colOff>
      <xdr:row>13</xdr:row>
      <xdr:rowOff>13961</xdr:rowOff>
    </xdr:from>
    <xdr:ext cx="2439899" cy="452432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/>
      </xdr:nvSpPr>
      <xdr:spPr>
        <a:xfrm>
          <a:off x="3899595" y="2490461"/>
          <a:ext cx="2439899" cy="452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200" b="1"/>
            <a:t>Diseño</a:t>
          </a:r>
          <a:r>
            <a:rPr lang="es-ES" sz="1200"/>
            <a:t>: Ariel Martínez Romano </a:t>
          </a:r>
          <a:r>
            <a:rPr lang="es-E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para</a:t>
          </a:r>
        </a:p>
        <a:p>
          <a:r>
            <a:rPr lang="es-E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Clases Excel© </a:t>
          </a:r>
          <a:endParaRPr lang="es-ES" sz="1200"/>
        </a:p>
      </xdr:txBody>
    </xdr:sp>
    <xdr:clientData/>
  </xdr:oneCellAnchor>
  <xdr:oneCellAnchor>
    <xdr:from>
      <xdr:col>5</xdr:col>
      <xdr:colOff>89595</xdr:colOff>
      <xdr:row>11</xdr:row>
      <xdr:rowOff>142970</xdr:rowOff>
    </xdr:from>
    <xdr:ext cx="2179507" cy="280205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3899595" y="2238470"/>
          <a:ext cx="217950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s-ES" sz="1200" b="1"/>
            <a:t>Primera edición</a:t>
          </a:r>
          <a:r>
            <a:rPr lang="es-ES" sz="1200"/>
            <a:t>:</a:t>
          </a:r>
          <a:r>
            <a:rPr lang="es-ES" sz="1200" baseline="0"/>
            <a:t> Abril de 2026</a:t>
          </a:r>
          <a:endParaRPr lang="es-ES" sz="1200"/>
        </a:p>
      </xdr:txBody>
    </xdr:sp>
    <xdr:clientData/>
  </xdr:oneCellAnchor>
  <xdr:oneCellAnchor>
    <xdr:from>
      <xdr:col>0</xdr:col>
      <xdr:colOff>557690</xdr:colOff>
      <xdr:row>20</xdr:row>
      <xdr:rowOff>86477</xdr:rowOff>
    </xdr:from>
    <xdr:ext cx="1904047" cy="264560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2D3668B5-90AB-42DF-86F3-E83318216819}"/>
            </a:ext>
          </a:extLst>
        </xdr:cNvPr>
        <xdr:cNvSpPr txBox="1"/>
      </xdr:nvSpPr>
      <xdr:spPr>
        <a:xfrm>
          <a:off x="557690" y="3896477"/>
          <a:ext cx="190404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11 junio al 19 de julio de 2026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6</xdr:col>
      <xdr:colOff>247780</xdr:colOff>
      <xdr:row>2</xdr:row>
      <xdr:rowOff>57150</xdr:rowOff>
    </xdr:from>
    <xdr:to>
      <xdr:col>8</xdr:col>
      <xdr:colOff>449530</xdr:colOff>
      <xdr:row>3</xdr:row>
      <xdr:rowOff>140414</xdr:rowOff>
    </xdr:to>
    <xdr:pic>
      <xdr:nvPicPr>
        <xdr:cNvPr id="14" name="Imagen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B78058B-411F-8FC1-8EEE-0A69B5198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780" y="438150"/>
          <a:ext cx="1440000" cy="273764"/>
        </a:xfrm>
        <a:prstGeom prst="rect">
          <a:avLst/>
        </a:prstGeom>
      </xdr:spPr>
    </xdr:pic>
    <xdr:clientData/>
  </xdr:twoCellAnchor>
  <xdr:twoCellAnchor editAs="oneCell">
    <xdr:from>
      <xdr:col>6</xdr:col>
      <xdr:colOff>120055</xdr:colOff>
      <xdr:row>16</xdr:row>
      <xdr:rowOff>57150</xdr:rowOff>
    </xdr:from>
    <xdr:to>
      <xdr:col>8</xdr:col>
      <xdr:colOff>577255</xdr:colOff>
      <xdr:row>17</xdr:row>
      <xdr:rowOff>166614</xdr:rowOff>
    </xdr:to>
    <xdr:pic>
      <xdr:nvPicPr>
        <xdr:cNvPr id="2" name="Imagen 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D59D5C8-0068-47E2-84E5-E6E2C247A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2055" y="3105150"/>
          <a:ext cx="1695450" cy="29996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0</xdr:rowOff>
    </xdr:from>
    <xdr:to>
      <xdr:col>1</xdr:col>
      <xdr:colOff>325050</xdr:colOff>
      <xdr:row>2</xdr:row>
      <xdr:rowOff>10725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2952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</xdr:row>
      <xdr:rowOff>0</xdr:rowOff>
    </xdr:from>
    <xdr:to>
      <xdr:col>1</xdr:col>
      <xdr:colOff>325050</xdr:colOff>
      <xdr:row>3</xdr:row>
      <xdr:rowOff>10725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5905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3</xdr:row>
      <xdr:rowOff>0</xdr:rowOff>
    </xdr:from>
    <xdr:to>
      <xdr:col>1</xdr:col>
      <xdr:colOff>325050</xdr:colOff>
      <xdr:row>4</xdr:row>
      <xdr:rowOff>10725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8858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4</xdr:row>
      <xdr:rowOff>0</xdr:rowOff>
    </xdr:from>
    <xdr:to>
      <xdr:col>1</xdr:col>
      <xdr:colOff>325050</xdr:colOff>
      <xdr:row>5</xdr:row>
      <xdr:rowOff>10725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1811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5</xdr:row>
      <xdr:rowOff>0</xdr:rowOff>
    </xdr:from>
    <xdr:to>
      <xdr:col>1</xdr:col>
      <xdr:colOff>325050</xdr:colOff>
      <xdr:row>6</xdr:row>
      <xdr:rowOff>10725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4763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6</xdr:row>
      <xdr:rowOff>0</xdr:rowOff>
    </xdr:from>
    <xdr:to>
      <xdr:col>1</xdr:col>
      <xdr:colOff>325050</xdr:colOff>
      <xdr:row>7</xdr:row>
      <xdr:rowOff>10725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7716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7</xdr:row>
      <xdr:rowOff>0</xdr:rowOff>
    </xdr:from>
    <xdr:to>
      <xdr:col>1</xdr:col>
      <xdr:colOff>325050</xdr:colOff>
      <xdr:row>8</xdr:row>
      <xdr:rowOff>10725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20669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8</xdr:row>
      <xdr:rowOff>0</xdr:rowOff>
    </xdr:from>
    <xdr:to>
      <xdr:col>1</xdr:col>
      <xdr:colOff>325050</xdr:colOff>
      <xdr:row>9</xdr:row>
      <xdr:rowOff>10725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23622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9</xdr:row>
      <xdr:rowOff>0</xdr:rowOff>
    </xdr:from>
    <xdr:to>
      <xdr:col>1</xdr:col>
      <xdr:colOff>325050</xdr:colOff>
      <xdr:row>10</xdr:row>
      <xdr:rowOff>10725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26574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10</xdr:row>
      <xdr:rowOff>0</xdr:rowOff>
    </xdr:from>
    <xdr:to>
      <xdr:col>1</xdr:col>
      <xdr:colOff>325050</xdr:colOff>
      <xdr:row>11</xdr:row>
      <xdr:rowOff>10725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29527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11</xdr:row>
      <xdr:rowOff>0</xdr:rowOff>
    </xdr:from>
    <xdr:to>
      <xdr:col>1</xdr:col>
      <xdr:colOff>325050</xdr:colOff>
      <xdr:row>12</xdr:row>
      <xdr:rowOff>10725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32480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38</xdr:row>
      <xdr:rowOff>0</xdr:rowOff>
    </xdr:from>
    <xdr:to>
      <xdr:col>1</xdr:col>
      <xdr:colOff>325050</xdr:colOff>
      <xdr:row>39</xdr:row>
      <xdr:rowOff>10725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35433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39</xdr:row>
      <xdr:rowOff>0</xdr:rowOff>
    </xdr:from>
    <xdr:to>
      <xdr:col>1</xdr:col>
      <xdr:colOff>325050</xdr:colOff>
      <xdr:row>40</xdr:row>
      <xdr:rowOff>10725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41338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13</xdr:row>
      <xdr:rowOff>0</xdr:rowOff>
    </xdr:from>
    <xdr:to>
      <xdr:col>1</xdr:col>
      <xdr:colOff>325050</xdr:colOff>
      <xdr:row>14</xdr:row>
      <xdr:rowOff>10725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44291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14</xdr:row>
      <xdr:rowOff>0</xdr:rowOff>
    </xdr:from>
    <xdr:to>
      <xdr:col>1</xdr:col>
      <xdr:colOff>325050</xdr:colOff>
      <xdr:row>15</xdr:row>
      <xdr:rowOff>10725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47244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15</xdr:row>
      <xdr:rowOff>0</xdr:rowOff>
    </xdr:from>
    <xdr:to>
      <xdr:col>1</xdr:col>
      <xdr:colOff>325050</xdr:colOff>
      <xdr:row>16</xdr:row>
      <xdr:rowOff>10725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50196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16</xdr:row>
      <xdr:rowOff>0</xdr:rowOff>
    </xdr:from>
    <xdr:to>
      <xdr:col>1</xdr:col>
      <xdr:colOff>325050</xdr:colOff>
      <xdr:row>17</xdr:row>
      <xdr:rowOff>10725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53149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17</xdr:row>
      <xdr:rowOff>0</xdr:rowOff>
    </xdr:from>
    <xdr:to>
      <xdr:col>1</xdr:col>
      <xdr:colOff>325050</xdr:colOff>
      <xdr:row>18</xdr:row>
      <xdr:rowOff>10725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56102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18</xdr:row>
      <xdr:rowOff>0</xdr:rowOff>
    </xdr:from>
    <xdr:to>
      <xdr:col>1</xdr:col>
      <xdr:colOff>325050</xdr:colOff>
      <xdr:row>19</xdr:row>
      <xdr:rowOff>10725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59055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19</xdr:row>
      <xdr:rowOff>0</xdr:rowOff>
    </xdr:from>
    <xdr:to>
      <xdr:col>1</xdr:col>
      <xdr:colOff>325050</xdr:colOff>
      <xdr:row>20</xdr:row>
      <xdr:rowOff>10725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62007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20</xdr:row>
      <xdr:rowOff>0</xdr:rowOff>
    </xdr:from>
    <xdr:to>
      <xdr:col>1</xdr:col>
      <xdr:colOff>325050</xdr:colOff>
      <xdr:row>21</xdr:row>
      <xdr:rowOff>10725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64960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21</xdr:row>
      <xdr:rowOff>0</xdr:rowOff>
    </xdr:from>
    <xdr:to>
      <xdr:col>1</xdr:col>
      <xdr:colOff>325050</xdr:colOff>
      <xdr:row>22</xdr:row>
      <xdr:rowOff>10725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67913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22</xdr:row>
      <xdr:rowOff>0</xdr:rowOff>
    </xdr:from>
    <xdr:to>
      <xdr:col>1</xdr:col>
      <xdr:colOff>325050</xdr:colOff>
      <xdr:row>23</xdr:row>
      <xdr:rowOff>10725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70866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23</xdr:row>
      <xdr:rowOff>0</xdr:rowOff>
    </xdr:from>
    <xdr:to>
      <xdr:col>1</xdr:col>
      <xdr:colOff>325050</xdr:colOff>
      <xdr:row>24</xdr:row>
      <xdr:rowOff>10725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73818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24</xdr:row>
      <xdr:rowOff>0</xdr:rowOff>
    </xdr:from>
    <xdr:to>
      <xdr:col>1</xdr:col>
      <xdr:colOff>325050</xdr:colOff>
      <xdr:row>25</xdr:row>
      <xdr:rowOff>10725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76771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25</xdr:row>
      <xdr:rowOff>0</xdr:rowOff>
    </xdr:from>
    <xdr:to>
      <xdr:col>1</xdr:col>
      <xdr:colOff>325050</xdr:colOff>
      <xdr:row>26</xdr:row>
      <xdr:rowOff>10725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79724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26</xdr:row>
      <xdr:rowOff>0</xdr:rowOff>
    </xdr:from>
    <xdr:to>
      <xdr:col>1</xdr:col>
      <xdr:colOff>325050</xdr:colOff>
      <xdr:row>27</xdr:row>
      <xdr:rowOff>10725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82677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27</xdr:row>
      <xdr:rowOff>0</xdr:rowOff>
    </xdr:from>
    <xdr:to>
      <xdr:col>1</xdr:col>
      <xdr:colOff>325050</xdr:colOff>
      <xdr:row>28</xdr:row>
      <xdr:rowOff>10725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85629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28</xdr:row>
      <xdr:rowOff>0</xdr:rowOff>
    </xdr:from>
    <xdr:to>
      <xdr:col>1</xdr:col>
      <xdr:colOff>325050</xdr:colOff>
      <xdr:row>29</xdr:row>
      <xdr:rowOff>10725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88582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29</xdr:row>
      <xdr:rowOff>0</xdr:rowOff>
    </xdr:from>
    <xdr:to>
      <xdr:col>1</xdr:col>
      <xdr:colOff>325050</xdr:colOff>
      <xdr:row>30</xdr:row>
      <xdr:rowOff>10725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91535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</xdr:colOff>
      <xdr:row>0</xdr:row>
      <xdr:rowOff>0</xdr:rowOff>
    </xdr:from>
    <xdr:to>
      <xdr:col>1</xdr:col>
      <xdr:colOff>325050</xdr:colOff>
      <xdr:row>1</xdr:row>
      <xdr:rowOff>10725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oneCellAnchor>
    <xdr:from>
      <xdr:col>1</xdr:col>
      <xdr:colOff>19050</xdr:colOff>
      <xdr:row>29</xdr:row>
      <xdr:rowOff>0</xdr:rowOff>
    </xdr:from>
    <xdr:ext cx="306000" cy="306000"/>
    <xdr:pic>
      <xdr:nvPicPr>
        <xdr:cNvPr id="2" name="Imagen 1">
          <a:extLst>
            <a:ext uri="{FF2B5EF4-FFF2-40B4-BE49-F238E27FC236}">
              <a16:creationId xmlns:a16="http://schemas.microsoft.com/office/drawing/2014/main" id="{B32DA07C-848B-4743-AB8F-8EB555C96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91535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30</xdr:row>
      <xdr:rowOff>0</xdr:rowOff>
    </xdr:from>
    <xdr:ext cx="306000" cy="306000"/>
    <xdr:pic>
      <xdr:nvPicPr>
        <xdr:cNvPr id="35" name="Imagen 34">
          <a:extLst>
            <a:ext uri="{FF2B5EF4-FFF2-40B4-BE49-F238E27FC236}">
              <a16:creationId xmlns:a16="http://schemas.microsoft.com/office/drawing/2014/main" id="{EE855C6A-CE32-40DA-8FB8-A4EBF8A2C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94488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31</xdr:row>
      <xdr:rowOff>0</xdr:rowOff>
    </xdr:from>
    <xdr:ext cx="306000" cy="306000"/>
    <xdr:pic>
      <xdr:nvPicPr>
        <xdr:cNvPr id="36" name="Imagen 35">
          <a:extLst>
            <a:ext uri="{FF2B5EF4-FFF2-40B4-BE49-F238E27FC236}">
              <a16:creationId xmlns:a16="http://schemas.microsoft.com/office/drawing/2014/main" id="{275057CD-9A0C-4E6C-A684-CF8508ED0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97440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32</xdr:row>
      <xdr:rowOff>0</xdr:rowOff>
    </xdr:from>
    <xdr:ext cx="306000" cy="306000"/>
    <xdr:pic>
      <xdr:nvPicPr>
        <xdr:cNvPr id="37" name="Imagen 36">
          <a:extLst>
            <a:ext uri="{FF2B5EF4-FFF2-40B4-BE49-F238E27FC236}">
              <a16:creationId xmlns:a16="http://schemas.microsoft.com/office/drawing/2014/main" id="{9FD492CD-CBDF-4D84-8640-FC2B22553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00393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33</xdr:row>
      <xdr:rowOff>0</xdr:rowOff>
    </xdr:from>
    <xdr:ext cx="306000" cy="306000"/>
    <xdr:pic>
      <xdr:nvPicPr>
        <xdr:cNvPr id="38" name="Imagen 37">
          <a:extLst>
            <a:ext uri="{FF2B5EF4-FFF2-40B4-BE49-F238E27FC236}">
              <a16:creationId xmlns:a16="http://schemas.microsoft.com/office/drawing/2014/main" id="{FBD93C73-6B30-49A7-8091-ACE835C23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03346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34</xdr:row>
      <xdr:rowOff>0</xdr:rowOff>
    </xdr:from>
    <xdr:ext cx="306000" cy="306000"/>
    <xdr:pic>
      <xdr:nvPicPr>
        <xdr:cNvPr id="39" name="Imagen 38">
          <a:extLst>
            <a:ext uri="{FF2B5EF4-FFF2-40B4-BE49-F238E27FC236}">
              <a16:creationId xmlns:a16="http://schemas.microsoft.com/office/drawing/2014/main" id="{8827F714-00AB-4198-ACB0-54F048016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06299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35</xdr:row>
      <xdr:rowOff>0</xdr:rowOff>
    </xdr:from>
    <xdr:ext cx="306000" cy="306000"/>
    <xdr:pic>
      <xdr:nvPicPr>
        <xdr:cNvPr id="40" name="Imagen 39">
          <a:extLst>
            <a:ext uri="{FF2B5EF4-FFF2-40B4-BE49-F238E27FC236}">
              <a16:creationId xmlns:a16="http://schemas.microsoft.com/office/drawing/2014/main" id="{AAD15A8A-19E6-4C52-BF1F-A6E6CB021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09251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36</xdr:row>
      <xdr:rowOff>0</xdr:rowOff>
    </xdr:from>
    <xdr:ext cx="306000" cy="306000"/>
    <xdr:pic>
      <xdr:nvPicPr>
        <xdr:cNvPr id="41" name="Imagen 40">
          <a:extLst>
            <a:ext uri="{FF2B5EF4-FFF2-40B4-BE49-F238E27FC236}">
              <a16:creationId xmlns:a16="http://schemas.microsoft.com/office/drawing/2014/main" id="{78938A4A-58D2-4CCE-9762-F4B7C4EE6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12204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37</xdr:row>
      <xdr:rowOff>0</xdr:rowOff>
    </xdr:from>
    <xdr:ext cx="306000" cy="306000"/>
    <xdr:pic>
      <xdr:nvPicPr>
        <xdr:cNvPr id="42" name="Imagen 41">
          <a:extLst>
            <a:ext uri="{FF2B5EF4-FFF2-40B4-BE49-F238E27FC236}">
              <a16:creationId xmlns:a16="http://schemas.microsoft.com/office/drawing/2014/main" id="{8547E610-84C8-48F7-A224-F3CA67ACE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15157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40</xdr:row>
      <xdr:rowOff>0</xdr:rowOff>
    </xdr:from>
    <xdr:ext cx="306000" cy="306000"/>
    <xdr:pic>
      <xdr:nvPicPr>
        <xdr:cNvPr id="43" name="Imagen 42">
          <a:extLst>
            <a:ext uri="{FF2B5EF4-FFF2-40B4-BE49-F238E27FC236}">
              <a16:creationId xmlns:a16="http://schemas.microsoft.com/office/drawing/2014/main" id="{D8912BBF-1E1A-4324-905D-01664C3D9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18110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41</xdr:row>
      <xdr:rowOff>0</xdr:rowOff>
    </xdr:from>
    <xdr:ext cx="306000" cy="306000"/>
    <xdr:pic>
      <xdr:nvPicPr>
        <xdr:cNvPr id="44" name="Imagen 43">
          <a:extLst>
            <a:ext uri="{FF2B5EF4-FFF2-40B4-BE49-F238E27FC236}">
              <a16:creationId xmlns:a16="http://schemas.microsoft.com/office/drawing/2014/main" id="{DE383BA2-260D-47BF-B1B1-9DB6AC326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21062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42</xdr:row>
      <xdr:rowOff>0</xdr:rowOff>
    </xdr:from>
    <xdr:ext cx="306000" cy="306000"/>
    <xdr:pic>
      <xdr:nvPicPr>
        <xdr:cNvPr id="45" name="Imagen 44">
          <a:extLst>
            <a:ext uri="{FF2B5EF4-FFF2-40B4-BE49-F238E27FC236}">
              <a16:creationId xmlns:a16="http://schemas.microsoft.com/office/drawing/2014/main" id="{130F5FF5-6F01-448D-B5E7-6D032BB11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24015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43</xdr:row>
      <xdr:rowOff>0</xdr:rowOff>
    </xdr:from>
    <xdr:ext cx="306000" cy="306000"/>
    <xdr:pic>
      <xdr:nvPicPr>
        <xdr:cNvPr id="46" name="Imagen 45">
          <a:extLst>
            <a:ext uri="{FF2B5EF4-FFF2-40B4-BE49-F238E27FC236}">
              <a16:creationId xmlns:a16="http://schemas.microsoft.com/office/drawing/2014/main" id="{9D84DFD2-45CB-4C85-B1E9-AD6A0FEEB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26968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44</xdr:row>
      <xdr:rowOff>0</xdr:rowOff>
    </xdr:from>
    <xdr:ext cx="306000" cy="306000"/>
    <xdr:pic>
      <xdr:nvPicPr>
        <xdr:cNvPr id="47" name="Imagen 46">
          <a:extLst>
            <a:ext uri="{FF2B5EF4-FFF2-40B4-BE49-F238E27FC236}">
              <a16:creationId xmlns:a16="http://schemas.microsoft.com/office/drawing/2014/main" id="{BB2A1995-DB54-461D-9434-B14A6A26D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29921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45</xdr:row>
      <xdr:rowOff>0</xdr:rowOff>
    </xdr:from>
    <xdr:ext cx="306000" cy="306000"/>
    <xdr:pic>
      <xdr:nvPicPr>
        <xdr:cNvPr id="48" name="Imagen 47">
          <a:extLst>
            <a:ext uri="{FF2B5EF4-FFF2-40B4-BE49-F238E27FC236}">
              <a16:creationId xmlns:a16="http://schemas.microsoft.com/office/drawing/2014/main" id="{5A231515-5894-4489-9C7F-62EBFA89D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328737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46</xdr:row>
      <xdr:rowOff>0</xdr:rowOff>
    </xdr:from>
    <xdr:ext cx="306000" cy="306000"/>
    <xdr:pic>
      <xdr:nvPicPr>
        <xdr:cNvPr id="49" name="Imagen 48">
          <a:extLst>
            <a:ext uri="{FF2B5EF4-FFF2-40B4-BE49-F238E27FC236}">
              <a16:creationId xmlns:a16="http://schemas.microsoft.com/office/drawing/2014/main" id="{BF391674-F556-4C4E-863D-5DBF9B82F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358265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1</xdr:col>
      <xdr:colOff>19050</xdr:colOff>
      <xdr:row>47</xdr:row>
      <xdr:rowOff>0</xdr:rowOff>
    </xdr:from>
    <xdr:ext cx="306000" cy="306000"/>
    <xdr:pic>
      <xdr:nvPicPr>
        <xdr:cNvPr id="50" name="Imagen 49">
          <a:extLst>
            <a:ext uri="{FF2B5EF4-FFF2-40B4-BE49-F238E27FC236}">
              <a16:creationId xmlns:a16="http://schemas.microsoft.com/office/drawing/2014/main" id="{A8054BBD-D855-4042-836D-04CB1FCCF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3877925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9525</xdr:colOff>
      <xdr:row>12</xdr:row>
      <xdr:rowOff>0</xdr:rowOff>
    </xdr:from>
    <xdr:to>
      <xdr:col>1</xdr:col>
      <xdr:colOff>315525</xdr:colOff>
      <xdr:row>13</xdr:row>
      <xdr:rowOff>10725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9AA22AB-0C1D-4FFD-A9A3-276D61316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2550" y="3543300"/>
          <a:ext cx="306000" cy="306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8" name="Rectángulo: esquinas redondeadas 27">
          <a:extLst>
            <a:ext uri="{FF2B5EF4-FFF2-40B4-BE49-F238E27FC236}">
              <a16:creationId xmlns:a16="http://schemas.microsoft.com/office/drawing/2014/main" id="{AB104C2C-B5B5-43FD-AAD8-AD25BF2C553F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A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29" name="Rectángulo: esquinas redondeadas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40A80-BCE3-4B8E-9334-CDA230CDEA48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31" name="Rectángulo: esquinas redondeadas 3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F68C0-C971-4468-9554-7D1F6A735606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32" name="Rectángulo: esquinas redondeadas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AA1DC3-A20A-4052-B0FA-43479526142F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33" name="Rectángulo: esquinas redondeadas 3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3FC93E-BEAA-43D8-A244-DC3E6D03E48C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34" name="Rectángulo: esquinas redondeadas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8C4079-C9B6-41BC-8C40-7CB3B12DC490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14" name="62 Imagen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3" name="5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4" name="52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1097206</xdr:colOff>
      <xdr:row>22</xdr:row>
      <xdr:rowOff>37033</xdr:rowOff>
    </xdr:from>
    <xdr:to>
      <xdr:col>14</xdr:col>
      <xdr:colOff>9406</xdr:colOff>
      <xdr:row>26</xdr:row>
      <xdr:rowOff>16033</xdr:rowOff>
    </xdr:to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3456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6" name="54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1097206</xdr:colOff>
      <xdr:row>14</xdr:row>
      <xdr:rowOff>41397</xdr:rowOff>
    </xdr:from>
    <xdr:to>
      <xdr:col>14</xdr:col>
      <xdr:colOff>9406</xdr:colOff>
      <xdr:row>18</xdr:row>
      <xdr:rowOff>20397</xdr:rowOff>
    </xdr:to>
    <xdr:pic>
      <xdr:nvPicPr>
        <xdr:cNvPr id="7" name="55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3456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1097206</xdr:colOff>
      <xdr:row>26</xdr:row>
      <xdr:rowOff>34852</xdr:rowOff>
    </xdr:from>
    <xdr:to>
      <xdr:col>14</xdr:col>
      <xdr:colOff>9406</xdr:colOff>
      <xdr:row>30</xdr:row>
      <xdr:rowOff>13852</xdr:rowOff>
    </xdr:to>
    <xdr:pic>
      <xdr:nvPicPr>
        <xdr:cNvPr id="8" name="56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3456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1097206</xdr:colOff>
      <xdr:row>6</xdr:row>
      <xdr:rowOff>11973</xdr:rowOff>
    </xdr:from>
    <xdr:to>
      <xdr:col>14</xdr:col>
      <xdr:colOff>9406</xdr:colOff>
      <xdr:row>10</xdr:row>
      <xdr:rowOff>38598</xdr:rowOff>
    </xdr:to>
    <xdr:pic>
      <xdr:nvPicPr>
        <xdr:cNvPr id="9" name="57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3456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1097206</xdr:colOff>
      <xdr:row>18</xdr:row>
      <xdr:rowOff>39215</xdr:rowOff>
    </xdr:from>
    <xdr:to>
      <xdr:col>14</xdr:col>
      <xdr:colOff>9406</xdr:colOff>
      <xdr:row>22</xdr:row>
      <xdr:rowOff>18215</xdr:rowOff>
    </xdr:to>
    <xdr:pic>
      <xdr:nvPicPr>
        <xdr:cNvPr id="10" name="58 Imagen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3456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1" name="59 Imagen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1097206</xdr:colOff>
      <xdr:row>10</xdr:row>
      <xdr:rowOff>46526</xdr:rowOff>
    </xdr:from>
    <xdr:to>
      <xdr:col>14</xdr:col>
      <xdr:colOff>9406</xdr:colOff>
      <xdr:row>14</xdr:row>
      <xdr:rowOff>25526</xdr:rowOff>
    </xdr:to>
    <xdr:pic>
      <xdr:nvPicPr>
        <xdr:cNvPr id="12" name="60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83456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3" name="61 Imagen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7" name="CuadroTexto 2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BD876F4-6A1F-0B1B-6B13-7FFB389B5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95BB2BE2-BD8D-3F7C-E6E8-B66A9B27B37E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35" name="Rectángulo: esquinas redondeadas 3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BD92DCB-4D3E-4497-8283-8703AB56A2F2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36" name="Rectángulo: esquinas redondeadas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7FCF579-AC9C-4949-8D3A-3E040A8BCAF8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37" name="Rectángulo: esquinas redondeadas 3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CC403DA-12D3-45A9-98E9-331E3B105B5B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38" name="Rectángulo: esquinas redondeadas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F5A79A-C863-4804-B7DC-DF4769BED00D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39" name="Rectángulo: esquinas redondeadas 3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F42035-9765-4B86-A081-66D5953D7523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40" name="Rectángulo: esquinas redondeadas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747F127-1E06-4DF1-9A74-9247659B3BD5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42" name="Imagen 4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5456935-ABBB-97C7-D0BA-56BE0CFF2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30" name="CuadroTexto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DB4FA-714D-4142-9C38-4ACC8C4F461E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E3163-46A0-4EA7-B8B5-830BC21E8371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A1BE4A36-5DFD-489A-8728-3594783B117D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B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1C487A-201F-44E1-9014-FB5D4A20CD7F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9C6489-4E23-4A75-904A-22BC83A70530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D60378-9F17-4D9E-8497-58BC66519D34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E3E8CF-78CE-4C95-9ECF-532701CB6692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DF791915-AA11-4D57-A60D-83810394B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A0942DA5-3826-4531-93F6-D9AE0189D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1169CC79-729D-4B8C-9C95-A98D877E6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22</xdr:row>
      <xdr:rowOff>37033</xdr:rowOff>
    </xdr:from>
    <xdr:to>
      <xdr:col>14</xdr:col>
      <xdr:colOff>23694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65CD2BE1-87EF-42CF-8B61-8F6E5C6FF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03D3DD9D-8B67-4628-BEFE-38987B835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14</xdr:row>
      <xdr:rowOff>41397</xdr:rowOff>
    </xdr:from>
    <xdr:to>
      <xdr:col>14</xdr:col>
      <xdr:colOff>23694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FF0EC674-B9BF-459E-8EA4-43D7ADAE0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26</xdr:row>
      <xdr:rowOff>34853</xdr:rowOff>
    </xdr:from>
    <xdr:to>
      <xdr:col>14</xdr:col>
      <xdr:colOff>23694</xdr:colOff>
      <xdr:row>30</xdr:row>
      <xdr:rowOff>11668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1C55F31D-99DF-4EE3-B80E-EC49B8C1F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501953"/>
          <a:ext cx="360000" cy="3578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6</xdr:row>
      <xdr:rowOff>11973</xdr:rowOff>
    </xdr:from>
    <xdr:to>
      <xdr:col>14</xdr:col>
      <xdr:colOff>23694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64D5E6DA-4975-4D47-A0FE-6F07DB6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18</xdr:row>
      <xdr:rowOff>39215</xdr:rowOff>
    </xdr:from>
    <xdr:to>
      <xdr:col>14</xdr:col>
      <xdr:colOff>23694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2C7BC468-B27B-4AB8-9E3A-606DD3E5C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EA107B44-3FC4-4B4F-BC9D-11745B075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10</xdr:row>
      <xdr:rowOff>46526</xdr:rowOff>
    </xdr:from>
    <xdr:to>
      <xdr:col>14</xdr:col>
      <xdr:colOff>23694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ED6194F6-B030-455C-82EB-3D75FE5A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C4E7B8D8-D894-4A0C-A8C1-F30A7B160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8E52C13-ADA4-43B1-A13A-D8E92F93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8101A302-AFAD-48BE-A451-402A918026D5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CE5FC2B-FDFF-4B37-B7DD-27FD3F38F221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CBE3CC3-6519-41F7-8B5D-24BEE8CA533B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99B1714-3F69-448B-837B-10751E8076BF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C302E3-8FCD-4C66-AAB8-E8AF1A936534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7B7BE19-5F84-4316-95DF-A4EF654EF1AA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672550C-3D8A-447E-AED8-C3F7F8987D69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D79BC81-3F76-446F-ADF5-7BF7D8054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31" name="CuadroTexto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7BD76-2BF4-4E89-9EE9-59B18C2C3752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7FA60-A094-452A-8DD9-C5A8FF6DDC24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B82EEA-A501-4993-B366-9FCCD6A12201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96186FB9-413F-441D-A731-F1A0BA6716CC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C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0B8D2A-CD85-4A2F-87B4-B388A0AC020F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4F6D7D-B68A-4C67-B60A-6FA48C5197FB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BEB282-32A6-43F6-AF2F-20EFFB5910E2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39D63406-5A9B-4E70-B003-73139A767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89C785EE-A89D-4CC7-B558-20EE34900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60CED605-9E61-428F-BF41-FE049C7F1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1106731</xdr:colOff>
      <xdr:row>22</xdr:row>
      <xdr:rowOff>37033</xdr:rowOff>
    </xdr:from>
    <xdr:to>
      <xdr:col>14</xdr:col>
      <xdr:colOff>18931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CF7D2B0A-548A-4BB5-92AF-CC77564C7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2981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D00BDD9B-6539-4DA1-BAD2-4714FD9ED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1106731</xdr:colOff>
      <xdr:row>14</xdr:row>
      <xdr:rowOff>41397</xdr:rowOff>
    </xdr:from>
    <xdr:to>
      <xdr:col>14</xdr:col>
      <xdr:colOff>18931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E1695F04-5716-4273-B77D-B50A27EA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2981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1106731</xdr:colOff>
      <xdr:row>26</xdr:row>
      <xdr:rowOff>34852</xdr:rowOff>
    </xdr:from>
    <xdr:to>
      <xdr:col>14</xdr:col>
      <xdr:colOff>18931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C5CDB242-C371-4C28-9521-BE88B1E7A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2981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1106731</xdr:colOff>
      <xdr:row>6</xdr:row>
      <xdr:rowOff>11973</xdr:rowOff>
    </xdr:from>
    <xdr:to>
      <xdr:col>14</xdr:col>
      <xdr:colOff>18931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6EF5722E-773A-4F3E-BA9A-E82FBF9ED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2981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1106731</xdr:colOff>
      <xdr:row>18</xdr:row>
      <xdr:rowOff>39215</xdr:rowOff>
    </xdr:from>
    <xdr:to>
      <xdr:col>14</xdr:col>
      <xdr:colOff>18931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7EF4E51C-A1D3-49BD-A588-2F615EB6E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2981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953CDA2C-F9B1-4E3B-97ED-085D3B177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1106731</xdr:colOff>
      <xdr:row>10</xdr:row>
      <xdr:rowOff>46526</xdr:rowOff>
    </xdr:from>
    <xdr:to>
      <xdr:col>14</xdr:col>
      <xdr:colOff>18931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39D80C56-6E24-4620-A797-E1D4F9462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2981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59DF05F7-13CF-466E-BA1F-4081133EF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C840C48-3269-4E76-AA44-D1B087E53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98653295-9A42-416F-827F-A1A980C601B3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E5AD9F0-486B-41F1-ACEB-0641BB598563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174A6FF-2633-42E7-A22F-7A329ED086DF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1F6BAA3-4BC7-4958-9995-6B4EB234C3EE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1872201-225D-430D-970D-1AE1CCBAF68E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CA14B08-8588-457F-A975-64E136B50896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FF44B96-36EC-481B-8CB0-B5B5F021D2AF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DAA8E54-7A8E-4B85-B9BF-8036007AD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31" name="CuadroTexto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8DAD1-69D4-4F31-BE52-61FFA78EDD5B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58981F"/>
              </a:solidFill>
            </a:rPr>
            <a:t>Haz clic aquí para elegir tu zona horaria.</a:t>
          </a:r>
        </a:p>
      </xdr:txBody>
    </xdr:sp>
    <xdr:clientData/>
  </xdr:oneCellAnchor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5FD8D-490F-4E40-A596-65B7B96AB19E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86EF03-342B-4A5D-A68D-3434494623DE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3F7A3F-B199-4589-9B30-E1764C44392F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62634BA-E4EE-4D94-8B09-A5083156E9DE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D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1F46F8-41B6-476C-A081-BC0720E1CA8B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58C8DB-46F7-44A2-BB13-9E5817744208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947121FF-6329-4136-B805-3D1B5E4A7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D5408A79-6C5D-40EC-BABC-B714A91A6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8F2703D1-7A23-44BB-94E9-265C26436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22</xdr:row>
      <xdr:rowOff>37033</xdr:rowOff>
    </xdr:from>
    <xdr:to>
      <xdr:col>14</xdr:col>
      <xdr:colOff>23694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69458082-D116-41D3-8572-CA60FA75D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6A594477-49CD-42FC-88D8-D359A6364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14</xdr:row>
      <xdr:rowOff>41397</xdr:rowOff>
    </xdr:from>
    <xdr:to>
      <xdr:col>14</xdr:col>
      <xdr:colOff>23694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1897D661-386F-405E-A54B-8C4FFFC27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26</xdr:row>
      <xdr:rowOff>34852</xdr:rowOff>
    </xdr:from>
    <xdr:to>
      <xdr:col>14</xdr:col>
      <xdr:colOff>23694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2DC9920A-5CC2-4E03-97FC-4427DAA97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6</xdr:row>
      <xdr:rowOff>11973</xdr:rowOff>
    </xdr:from>
    <xdr:to>
      <xdr:col>14</xdr:col>
      <xdr:colOff>23694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39F3300C-BF65-4DBB-A49D-0D778D46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18</xdr:row>
      <xdr:rowOff>39215</xdr:rowOff>
    </xdr:from>
    <xdr:to>
      <xdr:col>14</xdr:col>
      <xdr:colOff>23694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76748B73-7F14-4D24-9C71-53C6B5B89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A0C79CBF-0AE0-4F9E-AEF9-13302224A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10</xdr:row>
      <xdr:rowOff>46526</xdr:rowOff>
    </xdr:from>
    <xdr:to>
      <xdr:col>14</xdr:col>
      <xdr:colOff>23694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2EC0C45B-7056-412F-8BB8-6B7A34CC4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7379E7A8-42AC-4421-A5E1-BD44D5C5C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E7A0D8F-B4FD-4F44-99F2-CD243650B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C9C2CDC3-2FB3-478D-8244-3A4D168389D1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AF8AC90-DF40-42FB-9B38-BBE592107FCB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C809D1F-2F07-42D7-B797-C5E092BE9650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A536470-3534-4337-BE64-77010582A230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0CD6E0-F941-46EE-820B-9C586D6480D4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B7785C6-15DA-49C6-9570-81BB20693B6B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4F31F3D-248B-4BEE-9F7F-5AB634498D47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754166B3-6442-4C06-9D70-18C18B1AB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8676E-B99E-4AAB-9F83-DCBCB1390E00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82F551-B924-4892-9462-6B6659856DD2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C78AEA-0EB8-4175-A1F2-5CC9C3444E62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912389-0A9D-429D-B0E7-34024F79003D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D4531A3A-5010-48DD-82C6-11562811C412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E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400EB6-177F-49D8-96A7-11A8A1F491D1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13A3B0FF-8E74-40A3-B30B-98292D5D6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8F474F13-0249-406A-8FCA-7298E019A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D00745B0-AD2D-4B82-B17C-1440BEB48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22</xdr:row>
      <xdr:rowOff>37033</xdr:rowOff>
    </xdr:from>
    <xdr:to>
      <xdr:col>13</xdr:col>
      <xdr:colOff>1447681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F046261F-83D6-48D0-A16C-4CDF5A587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D7F1651B-57EC-41A4-8AC1-E25AB3708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14</xdr:row>
      <xdr:rowOff>41397</xdr:rowOff>
    </xdr:from>
    <xdr:to>
      <xdr:col>13</xdr:col>
      <xdr:colOff>1447681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665EBCFE-16FC-4475-B38A-1A6BE1B1B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26</xdr:row>
      <xdr:rowOff>34852</xdr:rowOff>
    </xdr:from>
    <xdr:to>
      <xdr:col>13</xdr:col>
      <xdr:colOff>1447681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99D14069-811E-4EF5-A954-04CD6D451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6</xdr:row>
      <xdr:rowOff>11973</xdr:rowOff>
    </xdr:from>
    <xdr:to>
      <xdr:col>13</xdr:col>
      <xdr:colOff>1447681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56342406-1EB2-472F-9E42-72E810E17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18</xdr:row>
      <xdr:rowOff>39215</xdr:rowOff>
    </xdr:from>
    <xdr:to>
      <xdr:col>13</xdr:col>
      <xdr:colOff>1447681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9DDE4B2A-E1DD-437D-A22F-2B8AC8ED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4CC0307A-53DB-4E2F-901E-0AFC7147B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10</xdr:row>
      <xdr:rowOff>46526</xdr:rowOff>
    </xdr:from>
    <xdr:to>
      <xdr:col>13</xdr:col>
      <xdr:colOff>1447681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6F1CD7FA-314C-4AAD-9152-AC3D9AEE4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1E229530-99A8-4A5E-869D-7CF1B8FB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0" name="CuadroText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1A342C8-C6DB-46E0-84F6-A4B3BDA01D19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F13F52C-C721-4932-AE2B-666C7413A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51727233-D2D9-4A4E-B63E-0BEE07AFFB6C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C32BBA0-D766-4CC4-9F8C-C4B6B8A752A3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422AD2D-8EB6-4DDD-8D75-1A0172188833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CC4C74-20E9-42B6-8910-80BD57239F7A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4838913-82B0-4C4F-96CB-00C9AC21E503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2A688CC-828E-49A1-BD81-CF8DCCA8A497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EE13908-FFDD-4BAE-ABD8-E6B61BB1CADB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53ACDEB-52F6-4FEE-BD78-313B09AA6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C75FF-38D1-49EF-B7EA-F84E0D49BE77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52285-7D15-4DBD-8725-45FDA1D3D0CB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94DE53-039E-4FC2-BC68-E2DF80C887FB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E8864D-5766-4207-B639-83059CD0A4A6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8C11E2-B35D-483E-9977-BFB9CA2647FC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2B587B14-BBC7-429E-BCA0-E16D163183C7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F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FA387DB9-8755-4E3D-8652-F7C69D97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FC26B6FA-C541-4223-B515-6116E218D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A641CC22-EE4A-47C9-88B2-83BCF12D1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22</xdr:row>
      <xdr:rowOff>37033</xdr:rowOff>
    </xdr:from>
    <xdr:to>
      <xdr:col>13</xdr:col>
      <xdr:colOff>1447681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43E909FA-6EB9-4805-9D45-9329E6A34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77449358-9A7F-413B-8CED-9CD8748D9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14</xdr:row>
      <xdr:rowOff>41397</xdr:rowOff>
    </xdr:from>
    <xdr:to>
      <xdr:col>13</xdr:col>
      <xdr:colOff>1447681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9528A3ED-E734-48A9-B941-8F7B9352A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26</xdr:row>
      <xdr:rowOff>34852</xdr:rowOff>
    </xdr:from>
    <xdr:to>
      <xdr:col>13</xdr:col>
      <xdr:colOff>1447681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09EA7D15-D8B0-4805-A805-8366190A4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6</xdr:row>
      <xdr:rowOff>11973</xdr:rowOff>
    </xdr:from>
    <xdr:to>
      <xdr:col>13</xdr:col>
      <xdr:colOff>1447681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029FE72A-95BD-4C89-92F0-4AB1257EC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18</xdr:row>
      <xdr:rowOff>39215</xdr:rowOff>
    </xdr:from>
    <xdr:to>
      <xdr:col>13</xdr:col>
      <xdr:colOff>1447681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E6673967-1A8F-4246-A354-6CF8245F4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B4E8562E-0148-4CFB-BBE3-117F4A783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1087681</xdr:colOff>
      <xdr:row>10</xdr:row>
      <xdr:rowOff>46526</xdr:rowOff>
    </xdr:from>
    <xdr:to>
      <xdr:col>13</xdr:col>
      <xdr:colOff>1447681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A1E224BF-42A5-4AAF-9789-32BAD1629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73931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01793507-216A-4B66-9E7D-2765234CE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0" name="CuadroText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A2A4CDD-EEE2-43BD-AD74-768DC33E5ECA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136E42E-7A8F-469A-9E79-5025E60C0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E433C508-A903-4774-A83A-6451B86A6920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B7767A7-CA60-4B5A-B9F8-A4A4BA886052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G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239D1BA-E7D6-4F81-983C-20C3143AF74B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59378F-6EDF-4710-B6AF-DF930E37889F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E8A7256-9B1F-45FA-A69A-70DCC00C4692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5CBE099-E113-4708-B5FB-D15A6BCE869D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B6ED8EE-8A11-4815-9E71-87582A82120D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625BAC48-4013-4AF5-BA93-BAF6B3A25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2466975" y="666750"/>
    <xdr:ext cx="252000" cy="252000"/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19C2F-4B32-483A-8032-434AC262B6EB}"/>
            </a:ext>
          </a:extLst>
        </xdr:cNvPr>
        <xdr:cNvSpPr/>
      </xdr:nvSpPr>
      <xdr:spPr>
        <a:xfrm>
          <a:off x="246697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A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2773680" y="666750"/>
    <xdr:ext cx="252000" cy="252000"/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030DE-E21A-494F-94DB-411074A3FEB5}"/>
            </a:ext>
          </a:extLst>
        </xdr:cNvPr>
        <xdr:cNvSpPr/>
      </xdr:nvSpPr>
      <xdr:spPr>
        <a:xfrm>
          <a:off x="277368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B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080385" y="666750"/>
    <xdr:ext cx="252000" cy="252000"/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1E8929-E91E-437A-97A5-D7049B267307}"/>
            </a:ext>
          </a:extLst>
        </xdr:cNvPr>
        <xdr:cNvSpPr/>
      </xdr:nvSpPr>
      <xdr:spPr>
        <a:xfrm>
          <a:off x="308038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C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387090" y="666750"/>
    <xdr:ext cx="252000" cy="252000"/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F0BD3A-0874-4941-A065-04C7D082C1DC}"/>
            </a:ext>
          </a:extLst>
        </xdr:cNvPr>
        <xdr:cNvSpPr/>
      </xdr:nvSpPr>
      <xdr:spPr>
        <a:xfrm>
          <a:off x="338709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D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3693795" y="666750"/>
    <xdr:ext cx="252000" cy="252000"/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43A3F6-A592-4F2C-8219-FBAE593B2A91}"/>
            </a:ext>
          </a:extLst>
        </xdr:cNvPr>
        <xdr:cNvSpPr/>
      </xdr:nvSpPr>
      <xdr:spPr>
        <a:xfrm>
          <a:off x="369379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E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000500" y="666750"/>
    <xdr:ext cx="252000" cy="252000"/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1303AE-3C7E-4082-B5B3-F022B3D4FD0E}"/>
            </a:ext>
          </a:extLst>
        </xdr:cNvPr>
        <xdr:cNvSpPr/>
      </xdr:nvSpPr>
      <xdr:spPr>
        <a:xfrm>
          <a:off x="400050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F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5</xdr:col>
      <xdr:colOff>526</xdr:colOff>
      <xdr:row>18</xdr:row>
      <xdr:rowOff>20412</xdr:rowOff>
    </xdr:from>
    <xdr:to>
      <xdr:col>5</xdr:col>
      <xdr:colOff>360526</xdr:colOff>
      <xdr:row>21</xdr:row>
      <xdr:rowOff>94662</xdr:rowOff>
    </xdr:to>
    <xdr:pic>
      <xdr:nvPicPr>
        <xdr:cNvPr id="8" name="62 Imagen">
          <a:extLst>
            <a:ext uri="{FF2B5EF4-FFF2-40B4-BE49-F238E27FC236}">
              <a16:creationId xmlns:a16="http://schemas.microsoft.com/office/drawing/2014/main" id="{74B12DCC-2E79-42CD-B5F4-95B5CB90B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72551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6</xdr:row>
      <xdr:rowOff>2448</xdr:rowOff>
    </xdr:from>
    <xdr:to>
      <xdr:col>5</xdr:col>
      <xdr:colOff>360526</xdr:colOff>
      <xdr:row>10</xdr:row>
      <xdr:rowOff>29073</xdr:rowOff>
    </xdr:to>
    <xdr:pic>
      <xdr:nvPicPr>
        <xdr:cNvPr id="9" name="51 Imagen">
          <a:extLst>
            <a:ext uri="{FF2B5EF4-FFF2-40B4-BE49-F238E27FC236}">
              <a16:creationId xmlns:a16="http://schemas.microsoft.com/office/drawing/2014/main" id="{4694332B-3468-4311-97DF-D71665039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61217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</xdr:colOff>
      <xdr:row>14</xdr:row>
      <xdr:rowOff>25168</xdr:rowOff>
    </xdr:from>
    <xdr:to>
      <xdr:col>5</xdr:col>
      <xdr:colOff>360526</xdr:colOff>
      <xdr:row>18</xdr:row>
      <xdr:rowOff>4168</xdr:rowOff>
    </xdr:to>
    <xdr:pic>
      <xdr:nvPicPr>
        <xdr:cNvPr id="10" name="52 Imagen">
          <a:extLst>
            <a:ext uri="{FF2B5EF4-FFF2-40B4-BE49-F238E27FC236}">
              <a16:creationId xmlns:a16="http://schemas.microsoft.com/office/drawing/2014/main" id="{5D93E51C-C26A-47A9-BB07-84BB520E7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234926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22</xdr:row>
      <xdr:rowOff>37033</xdr:rowOff>
    </xdr:from>
    <xdr:to>
      <xdr:col>14</xdr:col>
      <xdr:colOff>23694</xdr:colOff>
      <xdr:row>26</xdr:row>
      <xdr:rowOff>16033</xdr:rowOff>
    </xdr:to>
    <xdr:pic>
      <xdr:nvPicPr>
        <xdr:cNvPr id="11" name="53 Imagen">
          <a:extLst>
            <a:ext uri="{FF2B5EF4-FFF2-40B4-BE49-F238E27FC236}">
              <a16:creationId xmlns:a16="http://schemas.microsoft.com/office/drawing/2014/main" id="{B055EE0A-52D6-4B57-ABDE-1EA45544C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12313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10</xdr:row>
      <xdr:rowOff>42383</xdr:rowOff>
    </xdr:from>
    <xdr:to>
      <xdr:col>5</xdr:col>
      <xdr:colOff>360526</xdr:colOff>
      <xdr:row>14</xdr:row>
      <xdr:rowOff>21383</xdr:rowOff>
    </xdr:to>
    <xdr:pic>
      <xdr:nvPicPr>
        <xdr:cNvPr id="12" name="54 Imagen">
          <a:extLst>
            <a:ext uri="{FF2B5EF4-FFF2-40B4-BE49-F238E27FC236}">
              <a16:creationId xmlns:a16="http://schemas.microsoft.com/office/drawing/2014/main" id="{67758950-4EF3-411A-A4C9-E91EF4C11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1985483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14</xdr:row>
      <xdr:rowOff>41397</xdr:rowOff>
    </xdr:from>
    <xdr:to>
      <xdr:col>14</xdr:col>
      <xdr:colOff>23694</xdr:colOff>
      <xdr:row>18</xdr:row>
      <xdr:rowOff>20397</xdr:rowOff>
    </xdr:to>
    <xdr:pic>
      <xdr:nvPicPr>
        <xdr:cNvPr id="13" name="55 Imagen">
          <a:extLst>
            <a:ext uri="{FF2B5EF4-FFF2-40B4-BE49-F238E27FC236}">
              <a16:creationId xmlns:a16="http://schemas.microsoft.com/office/drawing/2014/main" id="{CE26113E-0F36-496D-BA6D-0642041DF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365497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26</xdr:row>
      <xdr:rowOff>34852</xdr:rowOff>
    </xdr:from>
    <xdr:to>
      <xdr:col>14</xdr:col>
      <xdr:colOff>23694</xdr:colOff>
      <xdr:row>30</xdr:row>
      <xdr:rowOff>13852</xdr:rowOff>
    </xdr:to>
    <xdr:pic>
      <xdr:nvPicPr>
        <xdr:cNvPr id="14" name="56 Imagen">
          <a:extLst>
            <a:ext uri="{FF2B5EF4-FFF2-40B4-BE49-F238E27FC236}">
              <a16:creationId xmlns:a16="http://schemas.microsoft.com/office/drawing/2014/main" id="{A6CB0C03-248A-41C8-8C10-93850206D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3501952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6</xdr:row>
      <xdr:rowOff>11973</xdr:rowOff>
    </xdr:from>
    <xdr:to>
      <xdr:col>14</xdr:col>
      <xdr:colOff>23694</xdr:colOff>
      <xdr:row>10</xdr:row>
      <xdr:rowOff>38598</xdr:rowOff>
    </xdr:to>
    <xdr:pic>
      <xdr:nvPicPr>
        <xdr:cNvPr id="15" name="57 Imagen">
          <a:extLst>
            <a:ext uri="{FF2B5EF4-FFF2-40B4-BE49-F238E27FC236}">
              <a16:creationId xmlns:a16="http://schemas.microsoft.com/office/drawing/2014/main" id="{8A13FAD7-D5C5-4D96-95AF-5771E7C3A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62169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18</xdr:row>
      <xdr:rowOff>39215</xdr:rowOff>
    </xdr:from>
    <xdr:to>
      <xdr:col>14</xdr:col>
      <xdr:colOff>23694</xdr:colOff>
      <xdr:row>22</xdr:row>
      <xdr:rowOff>18215</xdr:rowOff>
    </xdr:to>
    <xdr:pic>
      <xdr:nvPicPr>
        <xdr:cNvPr id="16" name="58 Imagen">
          <a:extLst>
            <a:ext uri="{FF2B5EF4-FFF2-40B4-BE49-F238E27FC236}">
              <a16:creationId xmlns:a16="http://schemas.microsoft.com/office/drawing/2014/main" id="{E3E118AD-DC5B-495B-B8B5-75CA5E03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2744315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26</xdr:row>
      <xdr:rowOff>17584</xdr:rowOff>
    </xdr:from>
    <xdr:to>
      <xdr:col>5</xdr:col>
      <xdr:colOff>360526</xdr:colOff>
      <xdr:row>29</xdr:row>
      <xdr:rowOff>91834</xdr:rowOff>
    </xdr:to>
    <xdr:pic>
      <xdr:nvPicPr>
        <xdr:cNvPr id="17" name="59 Imagen">
          <a:extLst>
            <a:ext uri="{FF2B5EF4-FFF2-40B4-BE49-F238E27FC236}">
              <a16:creationId xmlns:a16="http://schemas.microsoft.com/office/drawing/2014/main" id="{DDA3CC2F-4A94-463E-B962-A54C127B8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484684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1111494</xdr:colOff>
      <xdr:row>10</xdr:row>
      <xdr:rowOff>46526</xdr:rowOff>
    </xdr:from>
    <xdr:to>
      <xdr:col>14</xdr:col>
      <xdr:colOff>23694</xdr:colOff>
      <xdr:row>14</xdr:row>
      <xdr:rowOff>25526</xdr:rowOff>
    </xdr:to>
    <xdr:pic>
      <xdr:nvPicPr>
        <xdr:cNvPr id="18" name="60 Imagen">
          <a:extLst>
            <a:ext uri="{FF2B5EF4-FFF2-40B4-BE49-F238E27FC236}">
              <a16:creationId xmlns:a16="http://schemas.microsoft.com/office/drawing/2014/main" id="{973786CC-AFE5-4ECF-A09D-43E583225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97744" y="1989626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526</xdr:colOff>
      <xdr:row>22</xdr:row>
      <xdr:rowOff>26738</xdr:rowOff>
    </xdr:from>
    <xdr:to>
      <xdr:col>5</xdr:col>
      <xdr:colOff>360526</xdr:colOff>
      <xdr:row>26</xdr:row>
      <xdr:rowOff>5738</xdr:rowOff>
    </xdr:to>
    <xdr:pic>
      <xdr:nvPicPr>
        <xdr:cNvPr id="19" name="61 Imagen">
          <a:extLst>
            <a:ext uri="{FF2B5EF4-FFF2-40B4-BE49-F238E27FC236}">
              <a16:creationId xmlns:a16="http://schemas.microsoft.com/office/drawing/2014/main" id="{8B2017E5-AADA-4DC7-A8D7-87882C5B9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8351" y="3112838"/>
          <a:ext cx="360000" cy="360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381000</xdr:colOff>
      <xdr:row>4</xdr:row>
      <xdr:rowOff>0</xdr:rowOff>
    </xdr:from>
    <xdr:ext cx="2099164" cy="233205"/>
    <xdr:sp macro="" textlink="">
      <xdr:nvSpPr>
        <xdr:cNvPr id="20" name="CuadroText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86D1C7F-47E8-4EBA-BA37-FD069469598D}"/>
            </a:ext>
          </a:extLst>
        </xdr:cNvPr>
        <xdr:cNvSpPr txBox="1"/>
      </xdr:nvSpPr>
      <xdr:spPr>
        <a:xfrm>
          <a:off x="4162425" y="1152525"/>
          <a:ext cx="209916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900" b="1" u="sng">
              <a:solidFill>
                <a:srgbClr val="4B811B"/>
              </a:solidFill>
            </a:rPr>
            <a:t>Haz clic aquí para elegir tu zona horaria.</a:t>
          </a:r>
        </a:p>
      </xdr:txBody>
    </xdr:sp>
    <xdr:clientData/>
  </xdr:oneCellAnchor>
  <xdr:twoCellAnchor editAs="oneCell">
    <xdr:from>
      <xdr:col>0</xdr:col>
      <xdr:colOff>379514</xdr:colOff>
      <xdr:row>0</xdr:row>
      <xdr:rowOff>95249</xdr:rowOff>
    </xdr:from>
    <xdr:to>
      <xdr:col>5</xdr:col>
      <xdr:colOff>361950</xdr:colOff>
      <xdr:row>3</xdr:row>
      <xdr:rowOff>90275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CF14A65-91B1-4752-BCF3-A34D5E833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4" y="95249"/>
          <a:ext cx="1630261" cy="957051"/>
        </a:xfrm>
        <a:prstGeom prst="rect">
          <a:avLst/>
        </a:prstGeom>
      </xdr:spPr>
    </xdr:pic>
    <xdr:clientData/>
  </xdr:twoCellAnchor>
  <xdr:oneCellAnchor>
    <xdr:from>
      <xdr:col>5</xdr:col>
      <xdr:colOff>733425</xdr:colOff>
      <xdr:row>0</xdr:row>
      <xdr:rowOff>257175</xdr:rowOff>
    </xdr:from>
    <xdr:ext cx="1771319" cy="405432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2A1C4999-5FE0-465D-80E0-6CB11B25D9BF}"/>
            </a:ext>
          </a:extLst>
        </xdr:cNvPr>
        <xdr:cNvSpPr txBox="1"/>
      </xdr:nvSpPr>
      <xdr:spPr>
        <a:xfrm>
          <a:off x="2381250" y="257175"/>
          <a:ext cx="17713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UY" sz="2000" b="1">
              <a:solidFill>
                <a:sysClr val="windowText" lastClr="000000"/>
              </a:solidFill>
            </a:rPr>
            <a:t>Fase</a:t>
          </a:r>
          <a:r>
            <a:rPr lang="es-UY" sz="2000" b="1" baseline="0">
              <a:solidFill>
                <a:sysClr val="windowText" lastClr="000000"/>
              </a:solidFill>
            </a:rPr>
            <a:t> de grupos</a:t>
          </a:r>
          <a:endParaRPr lang="es-UY" sz="2000" b="1">
            <a:solidFill>
              <a:sysClr val="windowText" lastClr="000000"/>
            </a:solidFill>
          </a:endParaRPr>
        </a:p>
      </xdr:txBody>
    </xdr:sp>
    <xdr:clientData/>
  </xdr:oneCellAnchor>
  <xdr:absoluteAnchor>
    <xdr:pos x="4314825" y="666750"/>
    <xdr:ext cx="252000" cy="252000"/>
    <xdr:sp macro="" textlink="">
      <xdr:nvSpPr>
        <xdr:cNvPr id="23" name="Rectángulo: esquinas redondeadas 22">
          <a:extLst>
            <a:ext uri="{FF2B5EF4-FFF2-40B4-BE49-F238E27FC236}">
              <a16:creationId xmlns:a16="http://schemas.microsoft.com/office/drawing/2014/main" id="{E60E7A6F-0EAC-409F-B5AD-20E804C86416}"/>
            </a:ext>
          </a:extLst>
        </xdr:cNvPr>
        <xdr:cNvSpPr/>
      </xdr:nvSpPr>
      <xdr:spPr>
        <a:xfrm>
          <a:off x="4314825" y="666750"/>
          <a:ext cx="252000" cy="252000"/>
        </a:xfrm>
        <a:prstGeom prst="roundRect">
          <a:avLst/>
        </a:prstGeom>
        <a:solidFill>
          <a:srgbClr val="B0EA00"/>
        </a:solidFill>
        <a:ln>
          <a:solidFill>
            <a:srgbClr val="95C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312585"/>
              </a:solidFill>
              <a:latin typeface="+mn-lt"/>
            </a:rPr>
            <a:t>G</a:t>
          </a:r>
          <a:endParaRPr lang="es-UY" sz="1200" b="1">
            <a:solidFill>
              <a:srgbClr val="312585"/>
            </a:solidFill>
            <a:latin typeface="+mn-lt"/>
          </a:endParaRPr>
        </a:p>
      </xdr:txBody>
    </xdr:sp>
    <xdr:clientData/>
  </xdr:absoluteAnchor>
  <xdr:absoluteAnchor>
    <xdr:pos x="4621530" y="666750"/>
    <xdr:ext cx="252000" cy="252000"/>
    <xdr:sp macro="" textlink="">
      <xdr:nvSpPr>
        <xdr:cNvPr id="24" name="Rectángulo: esquinas redondeadas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304B68B-DAAD-4F64-A2F3-38F4BDC50122}"/>
            </a:ext>
          </a:extLst>
        </xdr:cNvPr>
        <xdr:cNvSpPr/>
      </xdr:nvSpPr>
      <xdr:spPr>
        <a:xfrm>
          <a:off x="462153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H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4928235" y="666750"/>
    <xdr:ext cx="252000" cy="252000"/>
    <xdr:sp macro="" textlink="">
      <xdr:nvSpPr>
        <xdr:cNvPr id="25" name="Rectángulo: esquinas redondeadas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F85754F-3838-42D7-98BC-A66FE9D930F0}"/>
            </a:ext>
          </a:extLst>
        </xdr:cNvPr>
        <xdr:cNvSpPr/>
      </xdr:nvSpPr>
      <xdr:spPr>
        <a:xfrm>
          <a:off x="492823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I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234940" y="666750"/>
    <xdr:ext cx="252000" cy="252000"/>
    <xdr:sp macro="" textlink="">
      <xdr:nvSpPr>
        <xdr:cNvPr id="26" name="Rectángulo: esquinas redondeadas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071ED4C-0AC4-4BB1-9709-E930356F2F73}"/>
            </a:ext>
          </a:extLst>
        </xdr:cNvPr>
        <xdr:cNvSpPr/>
      </xdr:nvSpPr>
      <xdr:spPr>
        <a:xfrm>
          <a:off x="523494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J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541645" y="666750"/>
    <xdr:ext cx="252000" cy="252000"/>
    <xdr:sp macro="" textlink="">
      <xdr:nvSpPr>
        <xdr:cNvPr id="27" name="Rectángulo: esquinas redondeadas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6E646A0-4697-4D65-9B34-CB4087920029}"/>
            </a:ext>
          </a:extLst>
        </xdr:cNvPr>
        <xdr:cNvSpPr/>
      </xdr:nvSpPr>
      <xdr:spPr>
        <a:xfrm>
          <a:off x="5541645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K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absoluteAnchor>
    <xdr:pos x="5848350" y="666750"/>
    <xdr:ext cx="252000" cy="252000"/>
    <xdr:sp macro="" textlink="">
      <xdr:nvSpPr>
        <xdr:cNvPr id="28" name="Rectángulo: esquinas redondeadas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B0698A1-8EFF-4323-B6F1-ADA44C62B161}"/>
            </a:ext>
          </a:extLst>
        </xdr:cNvPr>
        <xdr:cNvSpPr/>
      </xdr:nvSpPr>
      <xdr:spPr>
        <a:xfrm>
          <a:off x="5848350" y="666750"/>
          <a:ext cx="252000" cy="252000"/>
        </a:xfrm>
        <a:prstGeom prst="roundRect">
          <a:avLst/>
        </a:prstGeom>
        <a:solidFill>
          <a:srgbClr val="D9D9D9"/>
        </a:solidFill>
        <a:ln>
          <a:solidFill>
            <a:srgbClr val="C6C6C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UY" sz="1200" b="1" baseline="0">
              <a:solidFill>
                <a:srgbClr val="B3B3B3"/>
              </a:solidFill>
              <a:latin typeface="+mn-lt"/>
            </a:rPr>
            <a:t>L</a:t>
          </a:r>
          <a:endParaRPr lang="es-UY" sz="1200" b="1">
            <a:solidFill>
              <a:srgbClr val="B3B3B3"/>
            </a:solidFill>
            <a:latin typeface="+mn-lt"/>
          </a:endParaRPr>
        </a:p>
      </xdr:txBody>
    </xdr:sp>
    <xdr:clientData/>
  </xdr:absoluteAnchor>
  <xdr:twoCellAnchor editAs="oneCell">
    <xdr:from>
      <xdr:col>24</xdr:col>
      <xdr:colOff>47624</xdr:colOff>
      <xdr:row>0</xdr:row>
      <xdr:rowOff>66675</xdr:rowOff>
    </xdr:from>
    <xdr:to>
      <xdr:col>28</xdr:col>
      <xdr:colOff>422924</xdr:colOff>
      <xdr:row>1</xdr:row>
      <xdr:rowOff>12072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6908EFF-4330-4F86-8346-09DF7D8E7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9" y="66675"/>
          <a:ext cx="1404000" cy="2692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C449C6-B7D4-4D19-958D-FF3F86BE28C0}" name="tDatos" displayName="tDatos" ref="F1:Q105" totalsRowShown="0" headerRowDxfId="505" dataDxfId="504" tableBorderDxfId="503">
  <autoFilter ref="F1:Q105" xr:uid="{1DC449C6-B7D4-4D19-958D-FF3F86BE28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3B35FE10-18F8-47F0-8C53-5090F0CCF2F9}" name="#" dataDxfId="502"/>
    <tableColumn id="2" xr3:uid="{559A6569-CD74-4DFF-84F6-025E32325CEC}" name="FECHA LARGA" dataDxfId="501"/>
    <tableColumn id="3" xr3:uid="{68D70CD7-8024-41F0-8CEA-723EF5D96737}" name="FECHA" dataDxfId="500"/>
    <tableColumn id="4" xr3:uid="{8D768237-8CF2-4CC0-BF2F-CCABEF32CFCE}" name="HORA" dataDxfId="499"/>
    <tableColumn id="5" xr3:uid="{EC274F46-7C2B-4564-A689-574A0AA8E78B}" name="EQUIPO 1" dataDxfId="498"/>
    <tableColumn id="6" xr3:uid="{59802664-295C-4E3E-ADCE-88798DA9B812}" name="EQUIPO 2" dataDxfId="497"/>
    <tableColumn id="7" xr3:uid="{5F99D72C-6EDD-4C23-B5C1-0FEACF19D646}" name="GRUPO" dataDxfId="496"/>
    <tableColumn id="8" xr3:uid="{6D174073-A235-44AA-A557-3981F5BD4D4E}" name="ESTADIO" dataDxfId="495"/>
    <tableColumn id="9" xr3:uid="{C9D89DBE-3DB8-4C85-8237-7CED4449E829}" name="ESTADIO ABREV." dataDxfId="494"/>
    <tableColumn id="10" xr3:uid="{2EA4361E-BC45-4B0A-BD49-0C75828EB905}" name="UTCO" dataDxfId="493"/>
    <tableColumn id="11" xr3:uid="{5B887A64-EF15-490B-A595-1E4B36D47A58}" name="CoefUTCO" dataDxfId="492">
      <calculatedColumnFormula>(MID(tDatos[[#This Row],[UTCO]],5,2)+RIGHT(tDatos[[#This Row],[UTCO]],2)/60)*IF(tDatos[[#This Row],[UTCO]]="","",IF(MID(tDatos[[#This Row],[UTCO]],4,1)="+",1,-1))</calculatedColumnFormula>
    </tableColumn>
    <tableColumn id="16" xr3:uid="{E92F0666-385E-4724-A92E-3AB793992429}" name="HORARIO LOCAL" dataDxfId="491">
      <calculatedColumnFormula>IFERROR(tDatos[[#This Row],[FECHA]]+tDatos[[#This Row],[HORA]]+(((CoefUTCD)-(tDatos[[#This Row],[CoefUTCO]]))/24),tDatos[[#This Row],[FECHA]]+tDatos[[#This Row],[HORA]])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38F716-44D3-4792-9567-46550C3F7D29}" name="tMT" displayName="tMT" ref="S1:AB496" totalsRowShown="0" headerRowDxfId="490" dataDxfId="488" headerRowBorderDxfId="489" tableBorderDxfId="487" totalsRowBorderDxfId="486">
  <autoFilter ref="S1:AB496" xr:uid="{F938F716-44D3-4792-9567-46550C3F7D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9D13DD8-D037-48F1-ADA2-CBC9B445B1F7}" name="Clave" dataDxfId="485"/>
    <tableColumn id="10" xr3:uid="{C8613310-1AB0-4CDA-A2A7-4CE91125698E}" name="Clasificados2" dataDxfId="484"/>
    <tableColumn id="2" xr3:uid="{F34642B4-C94D-4ECF-A156-D670D93DE839}" name="1A" dataDxfId="483"/>
    <tableColumn id="3" xr3:uid="{993D61A5-9660-4065-B863-62AF46521AD3}" name="1B" dataDxfId="482"/>
    <tableColumn id="4" xr3:uid="{B89FE070-0819-4DE9-B9E1-C984682591F1}" name="1D" dataDxfId="481"/>
    <tableColumn id="5" xr3:uid="{8BD130B0-0F58-4395-9533-1ADF3BE40389}" name="1E" dataDxfId="480"/>
    <tableColumn id="6" xr3:uid="{3662C19C-C6BE-4670-ABCC-29BB2BB17FFB}" name="1G" dataDxfId="479"/>
    <tableColumn id="7" xr3:uid="{A0F8A70E-B544-4887-AF3E-E60F053A0584}" name="1I" dataDxfId="478"/>
    <tableColumn id="8" xr3:uid="{9C01936D-4409-4CAE-9C70-359A4476F48F}" name="1K" dataDxfId="477"/>
    <tableColumn id="9" xr3:uid="{768B911A-C20F-4CD9-BD53-0492A1407AEA}" name="1L" dataDxfId="47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B990-9A5D-4C8A-BEFB-FFE789719DE5}">
  <sheetPr codeName="Hoja2"/>
  <dimension ref="A1:XFD1"/>
  <sheetViews>
    <sheetView showGridLines="0" showRowColHeaders="0" tabSelected="1" workbookViewId="0">
      <selection activeCell="L3" sqref="L3"/>
    </sheetView>
  </sheetViews>
  <sheetFormatPr baseColWidth="10" defaultRowHeight="15" x14ac:dyDescent="0.25"/>
  <cols>
    <col min="16384" max="16384" width="11.42578125" hidden="1" customWidth="1"/>
  </cols>
  <sheetData>
    <row r="1" spans="16384:16384" x14ac:dyDescent="0.25">
      <c r="XFD1">
        <f>Copyright!XFC1</f>
        <v>1</v>
      </c>
    </row>
  </sheetData>
  <sheetProtection algorithmName="SHA-512" hashValue="QSPnaBLZcdwiap7sZ/NYp/hrTRr8r+PN062iVmmQPNqP+JqrXPoSgJVzymFTQWUUpLAkXwi0IDTGyybYRc0NEg==" saltValue="N3wwxWarat8ZMvuvAS0eXg==" spinCount="100000" sheet="1" objects="1" scenarios="1" selectLockedCells="1" selectUnlockedCell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C6A0-6FE3-4615-AE24-54DAABDDECCB}">
  <sheetPr codeName="Hoja19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1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1</v>
      </c>
      <c r="AY6" s="147"/>
      <c r="BB6" s="147">
        <f>(BB10=BB15)+(BB15=BB20)+(BB20=BB25)+(BB10=BB20)+(BB15=BB25)+(BB10=BB25)</f>
        <v>1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13</v>
      </c>
      <c r="B8" s="196">
        <v>14</v>
      </c>
      <c r="C8" s="195">
        <f>VLOOKUP(A8,tDatos[],IF(UTCElegido="",3,12),0)</f>
        <v>46188</v>
      </c>
      <c r="D8" s="197">
        <f>VLOOKUP(A8,tDatos[],IF(UTCElegido="",4,12),0)</f>
        <v>0.5</v>
      </c>
      <c r="E8" s="18"/>
      <c r="F8" s="198" t="str">
        <f>VLOOKUP(A8,tDatos[],5,0)</f>
        <v>ESPAÑA</v>
      </c>
      <c r="G8" s="192" t="str">
        <f>IF(AND(I8&lt;&gt;"",K8&lt;&gt;""),IF(I8=K8,"E",IF(I8&gt;K8,"G","P")),"")</f>
        <v>E</v>
      </c>
      <c r="H8" s="20"/>
      <c r="I8" s="280">
        <f>IF(Ingreso!G81="","",Ingreso!G81)</f>
        <v>0</v>
      </c>
      <c r="J8" s="237" t="s">
        <v>0</v>
      </c>
      <c r="K8" s="280">
        <f>IF(Ingreso!J81="","",Ingreso!J81)</f>
        <v>0</v>
      </c>
      <c r="L8" s="192" t="str">
        <f>IF(AND(K8&lt;&gt;"",I8&lt;&gt;""),IF(K8=I8,"E",IF(K8&gt;I8,"G","P")),"")</f>
        <v>E</v>
      </c>
      <c r="M8" s="19"/>
      <c r="N8" s="193" t="str">
        <f>VLOOKUP(A8,tDatos[],6,0)</f>
        <v>CABO VERDE</v>
      </c>
      <c r="O8" s="18"/>
      <c r="P8" s="218" t="str">
        <f>VLOOKUP(A8,tDatos[],9,0)</f>
        <v>Atlanta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ESPAÑACABO VERDE</v>
      </c>
      <c r="AS8" s="148" t="str">
        <f>IF(I8&gt;K8,F8,IF(K8&gt;I8,N8,""))</f>
        <v/>
      </c>
      <c r="AT8" s="149">
        <f>I8</f>
        <v>0</v>
      </c>
      <c r="AU8" s="149">
        <f>K8</f>
        <v>0</v>
      </c>
      <c r="AV8" s="149">
        <f>AT8-AU8</f>
        <v>0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CABO VERDEESPAÑA</v>
      </c>
      <c r="AS9" s="148" t="str">
        <f>IF(I8&gt;K8,F8,IF(K8&gt;I8,N8,""))</f>
        <v/>
      </c>
      <c r="AT9" s="149">
        <f>K8</f>
        <v>0</v>
      </c>
      <c r="AU9" s="149">
        <f>I8</f>
        <v>0</v>
      </c>
      <c r="AV9" s="149">
        <f>AT9-AU9</f>
        <v>0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ESPAÑA</v>
      </c>
      <c r="S10" s="266"/>
      <c r="T10" s="266"/>
      <c r="U10" s="267"/>
      <c r="V10" s="274">
        <f>VLOOKUP(1,$AE$10:$AG$29,3,0)</f>
        <v>3</v>
      </c>
      <c r="W10" s="246">
        <f>VLOOKUP(1,$AE$10:$AH$29,4,0)</f>
        <v>2</v>
      </c>
      <c r="X10" s="246">
        <f>VLOOKUP(1,$AE$10:$AI$29,5,0)</f>
        <v>1</v>
      </c>
      <c r="Y10" s="246">
        <f>VLOOKUP(1,$AE$10:$AJ$29,6,0)</f>
        <v>0</v>
      </c>
      <c r="Z10" s="246">
        <f>VLOOKUP(1,$AE$10:$AK$29,7,0)</f>
        <v>5</v>
      </c>
      <c r="AA10" s="246">
        <f>VLOOKUP(1,$AE$10:$AL$29,8,0)</f>
        <v>0</v>
      </c>
      <c r="AB10" s="246">
        <f>Z10-AA10</f>
        <v>5</v>
      </c>
      <c r="AC10" s="275">
        <f>(W10*3)+X10</f>
        <v>7</v>
      </c>
      <c r="AD10" s="223">
        <f>RANK(AO10,$AO$10:$AO$29,0)</f>
        <v>1</v>
      </c>
      <c r="AE10" s="223">
        <f>RANK(AP10,$AP$10:$AP$29,1)</f>
        <v>1</v>
      </c>
      <c r="AF10" s="223" t="str">
        <f>F8</f>
        <v>ESPAÑA</v>
      </c>
      <c r="AG10" s="249">
        <f>3-COUNTIF(I32:K32,"")</f>
        <v>3</v>
      </c>
      <c r="AH10" s="223">
        <f>COUNTIF(I32:K32,"G")</f>
        <v>2</v>
      </c>
      <c r="AI10" s="223">
        <f>COUNTIF(I32:K32,"E")</f>
        <v>1</v>
      </c>
      <c r="AJ10" s="223">
        <f>COUNTIF(I32:K32,"P")</f>
        <v>0</v>
      </c>
      <c r="AK10" s="223">
        <f>SUM(I8,I16,K28)</f>
        <v>5</v>
      </c>
      <c r="AL10" s="223">
        <f>SUM(K8,K16,I28)</f>
        <v>0</v>
      </c>
      <c r="AM10" s="223">
        <f>AK10-AL10</f>
        <v>5</v>
      </c>
      <c r="AN10" s="223">
        <f>(AH10*3)+AI10*vcp</f>
        <v>7</v>
      </c>
      <c r="AO10" s="223">
        <f>IF($AO$6&gt;0,AN10*10+3)</f>
        <v>73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ESPAÑA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70000</v>
      </c>
      <c r="AY10" s="226">
        <f>IF(AND($AO$6&gt;0,$AP$6&gt;0),AN10*10000+AZ10,AO10)</f>
        <v>70000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70000</v>
      </c>
      <c r="BC10" s="226">
        <f>AX10+BD10+3</f>
        <v>70003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70075.53</v>
      </c>
      <c r="BF10" s="225">
        <f>RANK(BE10,$BE$10:$BE$29)</f>
        <v>1</v>
      </c>
      <c r="BG10" s="279">
        <f>BE10-0.03</f>
        <v>70075.5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15</v>
      </c>
      <c r="B12" s="196">
        <v>13</v>
      </c>
      <c r="C12" s="195">
        <f>VLOOKUP(A12,tDatos[],IF(UTCElegido="",3,12),0)</f>
        <v>46188</v>
      </c>
      <c r="D12" s="197">
        <f>VLOOKUP(A12,tDatos[],IF(UTCElegido="",4,12),0)</f>
        <v>0.75</v>
      </c>
      <c r="E12" s="18"/>
      <c r="F12" s="198" t="str">
        <f>VLOOKUP(A12,tDatos[],5,0)</f>
        <v>ARABIA SAUDITA</v>
      </c>
      <c r="G12" s="192" t="str">
        <f>IF(AND(I12&lt;&gt;"",K12&lt;&gt;""),IF(I12=K12,"E",IF(I12&gt;K12,"G","P")),"")</f>
        <v>E</v>
      </c>
      <c r="H12" s="20"/>
      <c r="I12" s="280">
        <f>IF(Ingreso!G93="","",Ingreso!G93)</f>
        <v>1</v>
      </c>
      <c r="J12" s="237" t="s">
        <v>0</v>
      </c>
      <c r="K12" s="280">
        <f>IF(Ingreso!J93="","",Ingreso!J93)</f>
        <v>1</v>
      </c>
      <c r="L12" s="192" t="str">
        <f>IF(AND(K12&lt;&gt;"",I12&lt;&gt;""),IF(K12=I12,"E",IF(K12&gt;I12,"G","P")),"")</f>
        <v>E</v>
      </c>
      <c r="M12" s="19"/>
      <c r="N12" s="193" t="str">
        <f>VLOOKUP(A12,tDatos[],6,0)</f>
        <v>URUGUAY</v>
      </c>
      <c r="O12" s="18"/>
      <c r="P12" s="218" t="str">
        <f>VLOOKUP(A12,tDatos[],9,0)</f>
        <v>Miami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ARABIA SAUDITAURUGUAY</v>
      </c>
      <c r="AS12" s="148" t="str">
        <f>IF(I12&gt;K12,F12,IF(K12&gt;I12,N12,""))</f>
        <v/>
      </c>
      <c r="AT12" s="149">
        <f>I12</f>
        <v>1</v>
      </c>
      <c r="AU12" s="149">
        <f>K12</f>
        <v>1</v>
      </c>
      <c r="AV12" s="149">
        <f>AT12-AU12</f>
        <v>0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URUGUAYARABIA SAUDITA</v>
      </c>
      <c r="AS13" s="148" t="str">
        <f>IF(I12&gt;K12,F12,IF(K12&gt;I12,N12,""))</f>
        <v/>
      </c>
      <c r="AT13" s="149">
        <f>K12</f>
        <v>1</v>
      </c>
      <c r="AU13" s="149">
        <f>I12</f>
        <v>1</v>
      </c>
      <c r="AV13" s="149">
        <f>AT13-AU13</f>
        <v>0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CABO VERDE</v>
      </c>
      <c r="S15" s="266"/>
      <c r="T15" s="266"/>
      <c r="U15" s="267"/>
      <c r="V15" s="274">
        <f>VLOOKUP(2,$AE$10:$AG$29,3,0)</f>
        <v>3</v>
      </c>
      <c r="W15" s="246">
        <f>VLOOKUP(2,$AE$10:$AH$29,4,0)</f>
        <v>0</v>
      </c>
      <c r="X15" s="246">
        <f>VLOOKUP(2,$AE$10:$AI$29,5,0)</f>
        <v>3</v>
      </c>
      <c r="Y15" s="246">
        <f>VLOOKUP(2,$AE$10:$AJ$29,6,0)</f>
        <v>0</v>
      </c>
      <c r="Z15" s="246">
        <f>VLOOKUP(2,$AE$10:$AK$29,7,0)</f>
        <v>2</v>
      </c>
      <c r="AA15" s="246">
        <f>VLOOKUP(2,$AE$10:$AL$29,8,0)</f>
        <v>2</v>
      </c>
      <c r="AB15" s="246">
        <f>Z15-AA15</f>
        <v>0</v>
      </c>
      <c r="AC15" s="275">
        <f>(W15*3)+X15</f>
        <v>3</v>
      </c>
      <c r="AD15" s="223">
        <f>RANK(AO15,$AO$10:$AO$29,0)</f>
        <v>2</v>
      </c>
      <c r="AE15" s="223">
        <f>RANK(AP15,$AP$10:$AP$29,1)</f>
        <v>2</v>
      </c>
      <c r="AF15" s="223" t="str">
        <f>N8</f>
        <v>CABO VERDE</v>
      </c>
      <c r="AG15" s="249">
        <f>3-COUNTIF(I33:K33,"")</f>
        <v>3</v>
      </c>
      <c r="AH15" s="223">
        <f>COUNTIF(I33:K33,"G")</f>
        <v>0</v>
      </c>
      <c r="AI15" s="223">
        <f>COUNTIF(I33:K33,"E")</f>
        <v>3</v>
      </c>
      <c r="AJ15" s="223">
        <f>COUNTIF(I33:K33,"P")</f>
        <v>0</v>
      </c>
      <c r="AK15" s="249">
        <f>SUM(K8,K20,I24)</f>
        <v>2</v>
      </c>
      <c r="AL15" s="223">
        <f>SUM(I8,I20,K24)</f>
        <v>2</v>
      </c>
      <c r="AM15" s="223">
        <f>AK15-AL15</f>
        <v>0</v>
      </c>
      <c r="AN15" s="223">
        <f>(AH15*3)+AI15*vcp</f>
        <v>3</v>
      </c>
      <c r="AO15" s="223">
        <f>IF($AO$6&gt;0,AN15*10+2)</f>
        <v>32</v>
      </c>
      <c r="AP15" s="223">
        <f>IF(AF15=$R$38,BF15-100,IF(AF15=$R$37,BF15-200,IF(AF15=$R$36,BF15-300,BF15)))</f>
        <v>2</v>
      </c>
      <c r="AQ15" s="223" t="str">
        <f>IF(R37="",IF(SUM($V$10:$V$29)&gt;0,VLOOKUP(2,$AE$10:$AF$29,2,0),""),R37)</f>
        <v>CABO VERDE</v>
      </c>
      <c r="AR15" s="151"/>
      <c r="AS15" s="148"/>
      <c r="AT15" s="148"/>
      <c r="AU15" s="148"/>
      <c r="AV15" s="152"/>
      <c r="AW15" s="225">
        <f>RANK(AY15,$AY$10:$AY$29,0)</f>
        <v>2</v>
      </c>
      <c r="AX15" s="226">
        <f>IF(AND($AO$6&gt;0,$AP$6&gt;0),AN15*10000+AZ15,AO15)</f>
        <v>30000</v>
      </c>
      <c r="AY15" s="226">
        <f>IF(AND($AO$6&gt;0,$AP$6&gt;0),AN15*10000+AZ15-1,AO15)</f>
        <v>29999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2</v>
      </c>
      <c r="BB15" s="225">
        <f>AX15+BD15</f>
        <v>30000</v>
      </c>
      <c r="BC15" s="226">
        <f>AX15+BD15+2</f>
        <v>30002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30030.22</v>
      </c>
      <c r="BF15" s="225">
        <f>RANK(BE15,$BE$10:$BE$29)</f>
        <v>2</v>
      </c>
      <c r="BG15" s="279">
        <f>BE15-0.02</f>
        <v>30030.2</v>
      </c>
      <c r="BH15" s="279">
        <f>COUNTIF($BG$10:$BG$29,BG15)</f>
        <v>1</v>
      </c>
    </row>
    <row r="16" spans="1:60" ht="7.5" customHeight="1" x14ac:dyDescent="0.25">
      <c r="A16" s="229">
        <v>37</v>
      </c>
      <c r="B16" s="196">
        <v>38</v>
      </c>
      <c r="C16" s="195">
        <f>VLOOKUP(A16,tDatos[],IF(UTCElegido="",3,12),0)</f>
        <v>46194</v>
      </c>
      <c r="D16" s="197">
        <f>VLOOKUP(A16,tDatos[],IF(UTCElegido="",4,12),0)</f>
        <v>0.5</v>
      </c>
      <c r="E16" s="18"/>
      <c r="F16" s="198" t="str">
        <f>VLOOKUP(A16,tDatos[],5,0)</f>
        <v>ESPAÑA</v>
      </c>
      <c r="G16" s="192" t="str">
        <f>IF(AND(I16&lt;&gt;"",K16&lt;&gt;""),IF(I16=K16,"E",IF(I16&gt;K16,"G","P")),"")</f>
        <v>G</v>
      </c>
      <c r="H16" s="20"/>
      <c r="I16" s="280">
        <f>IF(Ingreso!G225="","",Ingreso!G225)</f>
        <v>4</v>
      </c>
      <c r="J16" s="237" t="s">
        <v>0</v>
      </c>
      <c r="K16" s="280">
        <f>IF(Ingreso!J225="","",Ingreso!J225)</f>
        <v>0</v>
      </c>
      <c r="L16" s="192" t="str">
        <f>IF(AND(K16&lt;&gt;"",I16&lt;&gt;""),IF(K16=I16,"E",IF(K16&gt;I16,"G","P")),"")</f>
        <v>P</v>
      </c>
      <c r="M16" s="19"/>
      <c r="N16" s="193" t="str">
        <f>VLOOKUP(A16,tDatos[],6,0)</f>
        <v>ARABIA SAUDITA</v>
      </c>
      <c r="O16" s="18"/>
      <c r="P16" s="218" t="str">
        <f>VLOOKUP(A16,tDatos[],9,0)</f>
        <v>Atlanta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ESPAÑAARABIA SAUDITA</v>
      </c>
      <c r="AS16" s="148" t="str">
        <f>IF(I16&gt;K16,F16,IF(K16&gt;I16,N16,""))</f>
        <v>ESPAÑA</v>
      </c>
      <c r="AT16" s="149">
        <f>I16</f>
        <v>4</v>
      </c>
      <c r="AU16" s="149">
        <f>K16</f>
        <v>0</v>
      </c>
      <c r="AV16" s="149">
        <f>AT16-AU16</f>
        <v>4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ARABIA SAUDITAESPAÑA</v>
      </c>
      <c r="AS17" s="148" t="str">
        <f>IF(I16&gt;K16,F16,IF(K16&gt;I16,N16,""))</f>
        <v>ESPAÑA</v>
      </c>
      <c r="AT17" s="149">
        <f>K16</f>
        <v>0</v>
      </c>
      <c r="AU17" s="149">
        <f>I16</f>
        <v>4</v>
      </c>
      <c r="AV17" s="149">
        <f>AT17-AU17</f>
        <v>-4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39</v>
      </c>
      <c r="B20" s="196">
        <v>37</v>
      </c>
      <c r="C20" s="195">
        <f>VLOOKUP(A20,tDatos[],IF(UTCElegido="",3,12),0)</f>
        <v>46194</v>
      </c>
      <c r="D20" s="197">
        <f>VLOOKUP(A20,tDatos[],IF(UTCElegido="",4,12),0)</f>
        <v>0.75</v>
      </c>
      <c r="E20" s="18"/>
      <c r="F20" s="198" t="str">
        <f>VLOOKUP(A20,tDatos[],5,0)</f>
        <v>URUGUAY</v>
      </c>
      <c r="G20" s="192" t="str">
        <f>IF(AND(I20&lt;&gt;"",K20&lt;&gt;""),IF(I20=K20,"E",IF(I20&gt;K20,"G","P")),"")</f>
        <v>E</v>
      </c>
      <c r="H20" s="20"/>
      <c r="I20" s="280">
        <f>IF(Ingreso!G237="","",Ingreso!G237)</f>
        <v>2</v>
      </c>
      <c r="J20" s="237" t="s">
        <v>0</v>
      </c>
      <c r="K20" s="280">
        <f>IF(Ingreso!J237="","",Ingreso!J237)</f>
        <v>2</v>
      </c>
      <c r="L20" s="192" t="str">
        <f>IF(AND(K20&lt;&gt;"",I20&lt;&gt;""),IF(K20=I20,"E",IF(K20&gt;I20,"G","P")),"")</f>
        <v>E</v>
      </c>
      <c r="M20" s="19"/>
      <c r="N20" s="193" t="str">
        <f>VLOOKUP(A20,tDatos[],6,0)</f>
        <v>CABO VERDE</v>
      </c>
      <c r="O20" s="18"/>
      <c r="P20" s="218" t="str">
        <f>VLOOKUP(A20,tDatos[],9,0)</f>
        <v>Miami</v>
      </c>
      <c r="R20" s="240" t="str">
        <f>"  3)  " &amp; VLOOKUP(3,$AE$10:$AF$29,2,0)</f>
        <v xml:space="preserve">  3)  URUGUAY</v>
      </c>
      <c r="S20" s="241"/>
      <c r="T20" s="241"/>
      <c r="U20" s="241"/>
      <c r="V20" s="255">
        <f>VLOOKUP(3,$AE$10:$AG$29,3,0)</f>
        <v>3</v>
      </c>
      <c r="W20" s="248">
        <f>VLOOKUP(3,$AE$10:$AH$29,4,0)</f>
        <v>0</v>
      </c>
      <c r="X20" s="248">
        <f>VLOOKUP(3,$AE$10:$AI$29,5,0)</f>
        <v>2</v>
      </c>
      <c r="Y20" s="248">
        <f>VLOOKUP(3,$AE$10:$AJ$29,6,0)</f>
        <v>1</v>
      </c>
      <c r="Z20" s="248">
        <f>VLOOKUP(3,$AE$10:$AK$29,7,0)</f>
        <v>3</v>
      </c>
      <c r="AA20" s="248">
        <f>VLOOKUP(3,$AE$10:$AL$29,8,0)</f>
        <v>4</v>
      </c>
      <c r="AB20" s="247">
        <f>Z20-AA20</f>
        <v>-1</v>
      </c>
      <c r="AC20" s="252">
        <f>(W20*3)+X20</f>
        <v>2</v>
      </c>
      <c r="AD20" s="223">
        <f>RANK(AO20,$AO$10:$AO$29,0)</f>
        <v>3</v>
      </c>
      <c r="AE20" s="223">
        <f>RANK(AP20,$AP$10:$AP$29,1)</f>
        <v>4</v>
      </c>
      <c r="AF20" s="223" t="str">
        <f>F12</f>
        <v>ARABIA SAUDITA</v>
      </c>
      <c r="AG20" s="249">
        <f>3-COUNTIF(I34:K34,"")</f>
        <v>3</v>
      </c>
      <c r="AH20" s="223">
        <f>COUNTIF(I34:K34,"G")</f>
        <v>0</v>
      </c>
      <c r="AI20" s="223">
        <f>COUNTIF(I34:K34,"E")</f>
        <v>2</v>
      </c>
      <c r="AJ20" s="223">
        <f>COUNTIF(I34:K34,"P")</f>
        <v>1</v>
      </c>
      <c r="AK20" s="249">
        <f>SUM(I12,K16,K24)</f>
        <v>1</v>
      </c>
      <c r="AL20" s="249">
        <f>SUM(K12,I16,I24)</f>
        <v>5</v>
      </c>
      <c r="AM20" s="223">
        <f>AK20-AL20</f>
        <v>-4</v>
      </c>
      <c r="AN20" s="223">
        <f>(AH20*3)+AI20*vcp</f>
        <v>2</v>
      </c>
      <c r="AO20" s="223">
        <f>IF($AO$6&gt;0,AN20*10+1)</f>
        <v>21</v>
      </c>
      <c r="AP20" s="223">
        <f>IF(AF20=$R$38,BF20-100,IF(AF20=$R$37,BF20-200,IF(AF20=$R$36,BF20-300,BF20)))</f>
        <v>4</v>
      </c>
      <c r="AQ20" s="223" t="str">
        <f>IF(R38="",IF(SUM($V$10:$V$29)&gt;0,VLOOKUP(3,$AE$10:$AF$29,2,0),""),R38)</f>
        <v>URUGUAY</v>
      </c>
      <c r="AR20" s="148" t="str">
        <f>F20&amp;N20</f>
        <v>URUGUAYCABO VERDE</v>
      </c>
      <c r="AS20" s="148" t="str">
        <f>IF(I20&gt;K20,F20,IF(K20&gt;I20,N20,""))</f>
        <v/>
      </c>
      <c r="AT20" s="149">
        <f>I20</f>
        <v>2</v>
      </c>
      <c r="AU20" s="149">
        <f>K20</f>
        <v>2</v>
      </c>
      <c r="AV20" s="149">
        <f>AT20-AU20</f>
        <v>0</v>
      </c>
      <c r="AW20" s="225">
        <f>RANK(AY20,$AY$10:$AY$29,0)</f>
        <v>3</v>
      </c>
      <c r="AX20" s="226">
        <f>IF(AND($AO$6&gt;0,$AP$6&gt;0),AN20*10000+AZ20,AO20)</f>
        <v>20000</v>
      </c>
      <c r="AY20" s="226">
        <f>IF(AND($AO$6&gt;0,$AP$6&gt;0),AN20*10000+AZ20-2,AO20)</f>
        <v>19998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3</v>
      </c>
      <c r="BB20" s="225">
        <f>AX20+BD20</f>
        <v>20000</v>
      </c>
      <c r="BC20" s="226">
        <f>AX20+BD20+1</f>
        <v>20001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20016.11</v>
      </c>
      <c r="BF20" s="225">
        <f>RANK(BE20,$BE$10:$BE$29)</f>
        <v>4</v>
      </c>
      <c r="BG20" s="279">
        <f>BE20-0.01</f>
        <v>20016.100000000002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CABO VERDEURUGUAY</v>
      </c>
      <c r="AS21" s="148" t="str">
        <f>IF(I20&gt;K20,F20,IF(K20&gt;I20,N20,""))</f>
        <v/>
      </c>
      <c r="AT21" s="149">
        <f>K20</f>
        <v>2</v>
      </c>
      <c r="AU21" s="149">
        <f>I20</f>
        <v>2</v>
      </c>
      <c r="AV21" s="149">
        <f>AT21-AU21</f>
        <v>0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63</v>
      </c>
      <c r="B24" s="196">
        <v>65</v>
      </c>
      <c r="C24" s="195">
        <f>VLOOKUP(A24,tDatos[],IF(UTCElegido="",3,12),0)</f>
        <v>46199</v>
      </c>
      <c r="D24" s="197">
        <f>VLOOKUP(A24,tDatos[],IF(UTCElegido="",4,12),0)</f>
        <v>0.83333333333333337</v>
      </c>
      <c r="E24" s="18"/>
      <c r="F24" s="198" t="str">
        <f>VLOOKUP(A24,tDatos[],5,0)</f>
        <v>CABO VERDE</v>
      </c>
      <c r="G24" s="192" t="str">
        <f>IF(AND(I24&lt;&gt;"",K24&lt;&gt;""),IF(I24=K24,"E",IF(I24&gt;K24,"G","P")),"")</f>
        <v>E</v>
      </c>
      <c r="H24" s="20"/>
      <c r="I24" s="280">
        <f>IF(Ingreso!G381="","",Ingreso!G381)</f>
        <v>0</v>
      </c>
      <c r="J24" s="237" t="s">
        <v>0</v>
      </c>
      <c r="K24" s="280">
        <f>IF(Ingreso!J381="","",Ingreso!J381)</f>
        <v>0</v>
      </c>
      <c r="L24" s="192" t="str">
        <f>IF(AND(K24&lt;&gt;"",I24&lt;&gt;""),IF(K24=I24,"E",IF(K24&gt;I24,"G","P")),"")</f>
        <v>E</v>
      </c>
      <c r="M24" s="19"/>
      <c r="N24" s="193" t="str">
        <f>VLOOKUP(A24,tDatos[],6,0)</f>
        <v>ARABIA SAUDITA</v>
      </c>
      <c r="O24" s="18"/>
      <c r="P24" s="218" t="str">
        <f>VLOOKUP(A24,tDatos[],9,0)</f>
        <v>Houston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CABO VERDEARABIA SAUDITA</v>
      </c>
      <c r="AS24" s="148" t="str">
        <f>IF(I24&gt;K24,F24,IF(K24&gt;I24,N24,""))</f>
        <v/>
      </c>
      <c r="AT24" s="149">
        <f>I24</f>
        <v>0</v>
      </c>
      <c r="AU24" s="149">
        <f>K24</f>
        <v>0</v>
      </c>
      <c r="AV24" s="149">
        <f>AT24-AU24</f>
        <v>0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ARABIA SAUDITA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2</v>
      </c>
      <c r="Y25" s="248">
        <f>VLOOKUP(4,$AE$10:$AJ$29,6,0)</f>
        <v>1</v>
      </c>
      <c r="Z25" s="248">
        <f>VLOOKUP(4,$AE$10:$AK$29,7,0)</f>
        <v>1</v>
      </c>
      <c r="AA25" s="248">
        <f>VLOOKUP(4,$AE$10:$AL$29,8,0)</f>
        <v>5</v>
      </c>
      <c r="AB25" s="247">
        <f>Z25-AA25</f>
        <v>-4</v>
      </c>
      <c r="AC25" s="252">
        <f>(W25*3)+X25</f>
        <v>2</v>
      </c>
      <c r="AD25" s="223">
        <f>RANK(AO25,$AO$10:$AO$29,0)</f>
        <v>4</v>
      </c>
      <c r="AE25" s="223">
        <f>RANK(AP25,$AP$10:$AP$29,1)</f>
        <v>3</v>
      </c>
      <c r="AF25" s="223" t="str">
        <f>N12</f>
        <v>URUGUAY</v>
      </c>
      <c r="AG25" s="249">
        <f>3-COUNTIF(I35:K35,"")</f>
        <v>3</v>
      </c>
      <c r="AH25" s="223">
        <f>COUNTIF(I35:K35,"G")</f>
        <v>0</v>
      </c>
      <c r="AI25" s="223">
        <f>COUNTIF(I35:K35,"E")</f>
        <v>2</v>
      </c>
      <c r="AJ25" s="223">
        <f>COUNTIF(I35:K35,"P")</f>
        <v>1</v>
      </c>
      <c r="AK25" s="249">
        <f>SUM(K12,I20,I28)</f>
        <v>3</v>
      </c>
      <c r="AL25" s="249">
        <f>SUM(I12,K20,K28)</f>
        <v>4</v>
      </c>
      <c r="AM25" s="223">
        <f>AK25-AL25</f>
        <v>-1</v>
      </c>
      <c r="AN25" s="223">
        <f>(AH25*3)+AI25*vcp</f>
        <v>2</v>
      </c>
      <c r="AO25" s="223">
        <f>IF($AO$6&gt;0,AN25*10)</f>
        <v>20</v>
      </c>
      <c r="AP25" s="223">
        <f>IF(AF25=$R$38,BF25-100,IF(AF25=$R$37,BF25-200,IF(AF25=$R$36,BF25-300,BF25)))</f>
        <v>3</v>
      </c>
      <c r="AQ25" s="223" t="str">
        <f>IF(SUM($V$10:$V$29)&gt;0,VLOOKUP(4,$AE$10:$AF$29,2,0),"")</f>
        <v>ARABIA SAUDITA</v>
      </c>
      <c r="AR25" s="148" t="str">
        <f>N24&amp;F24</f>
        <v>ARABIA SAUDITACABO VERDE</v>
      </c>
      <c r="AS25" s="148" t="str">
        <f>IF(I24&gt;K24,F24,IF(K24&gt;I24,N24,""))</f>
        <v/>
      </c>
      <c r="AT25" s="149">
        <f>K24</f>
        <v>0</v>
      </c>
      <c r="AU25" s="149">
        <f>I24</f>
        <v>0</v>
      </c>
      <c r="AV25" s="149">
        <f>AT25-AU25</f>
        <v>0</v>
      </c>
      <c r="AW25" s="225">
        <f>RANK(AY25,$AY$10:$AY$29,0)</f>
        <v>4</v>
      </c>
      <c r="AX25" s="226">
        <f>IF(AND($AO$6&gt;0,$AP$6&gt;0),AN25*10000+AZ25,AO25)</f>
        <v>20000</v>
      </c>
      <c r="AY25" s="226">
        <f>IF(AND($AO$6&gt;0,$AP$6&gt;0),AN25*10000+AZ25-3,AO25)</f>
        <v>19997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3</v>
      </c>
      <c r="BB25" s="225">
        <f>AX25+BD25</f>
        <v>20000</v>
      </c>
      <c r="BC25" s="226">
        <f>AX25+BD25</f>
        <v>20000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20019.3</v>
      </c>
      <c r="BF25" s="225">
        <f>RANK(BE25,$BE$10:$BE$29)</f>
        <v>3</v>
      </c>
      <c r="BG25" s="279">
        <f>BE25</f>
        <v>20019.3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64</v>
      </c>
      <c r="B28" s="196">
        <v>66</v>
      </c>
      <c r="C28" s="195">
        <f>VLOOKUP(A28,tDatos[],IF(UTCElegido="",3,12),0)</f>
        <v>46199</v>
      </c>
      <c r="D28" s="197">
        <f>VLOOKUP(A28,tDatos[],IF(UTCElegido="",4,12),0)</f>
        <v>0.83333333333333337</v>
      </c>
      <c r="E28" s="18"/>
      <c r="F28" s="198" t="str">
        <f>VLOOKUP(A28,tDatos[],5,0)</f>
        <v>URUGUAY</v>
      </c>
      <c r="G28" s="192" t="str">
        <f>IF(AND(I28&lt;&gt;"",K28&lt;&gt;""),IF(I28=K28,"E",IF(I28&gt;K28,"G","P")),"")</f>
        <v>P</v>
      </c>
      <c r="H28" s="20"/>
      <c r="I28" s="280">
        <f>IF(Ingreso!G387="","",Ingreso!G387)</f>
        <v>0</v>
      </c>
      <c r="J28" s="237" t="s">
        <v>0</v>
      </c>
      <c r="K28" s="280">
        <f>IF(Ingreso!J387="","",Ingreso!J387)</f>
        <v>1</v>
      </c>
      <c r="L28" s="192" t="str">
        <f>IF(AND(K28&lt;&gt;"",I28&lt;&gt;""),IF(K28=I28,"E",IF(K28&gt;I28,"G","P")),"")</f>
        <v>G</v>
      </c>
      <c r="M28" s="19"/>
      <c r="N28" s="193" t="str">
        <f>VLOOKUP(A28,tDatos[],6,0)</f>
        <v>ESPAÑA</v>
      </c>
      <c r="O28" s="18"/>
      <c r="P28" s="218" t="str">
        <f>VLOOKUP(A28,tDatos[],9,0)</f>
        <v>Guadalajara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URUGUAYESPAÑA</v>
      </c>
      <c r="AS28" s="148" t="str">
        <f>IF(I28&gt;K28,F28,IF(K28&gt;I28,N28,""))</f>
        <v>ESPAÑA</v>
      </c>
      <c r="AT28" s="149">
        <f>I28</f>
        <v>0</v>
      </c>
      <c r="AU28" s="149">
        <f>K28</f>
        <v>1</v>
      </c>
      <c r="AV28" s="149">
        <f>AT28-AU28</f>
        <v>-1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ESPAÑAURUGUAY</v>
      </c>
      <c r="AS29" s="148" t="str">
        <f>IF(I28&gt;K28,F28,IF(K28&gt;I28,N28,""))</f>
        <v>ESPAÑA</v>
      </c>
      <c r="AT29" s="149">
        <f>K28</f>
        <v>1</v>
      </c>
      <c r="AU29" s="149">
        <f>I28</f>
        <v>0</v>
      </c>
      <c r="AV29" s="149">
        <f>AT29-AU29</f>
        <v>1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ESPAÑA</v>
      </c>
      <c r="I32" t="str">
        <f>G8</f>
        <v>E</v>
      </c>
      <c r="J32" t="str">
        <f>G16</f>
        <v>G</v>
      </c>
      <c r="K32" t="str">
        <f>L28</f>
        <v>G</v>
      </c>
    </row>
    <row r="33" spans="6:21" hidden="1" x14ac:dyDescent="0.25">
      <c r="F33" t="str">
        <f>N8</f>
        <v>CABO VERDE</v>
      </c>
      <c r="I33" t="str">
        <f>L8</f>
        <v>E</v>
      </c>
      <c r="J33" t="str">
        <f>L20</f>
        <v>E</v>
      </c>
      <c r="K33" t="str">
        <f>G24</f>
        <v>E</v>
      </c>
    </row>
    <row r="34" spans="6:21" hidden="1" x14ac:dyDescent="0.25">
      <c r="F34" t="str">
        <f>F12</f>
        <v>ARABIA SAUDITA</v>
      </c>
      <c r="I34" t="str">
        <f>G12</f>
        <v>E</v>
      </c>
      <c r="J34" t="str">
        <f>L16</f>
        <v>P</v>
      </c>
      <c r="K34" t="str">
        <f>L24</f>
        <v>E</v>
      </c>
    </row>
    <row r="35" spans="6:21" hidden="1" x14ac:dyDescent="0.25">
      <c r="F35" t="str">
        <f>N12</f>
        <v>URUGUAY</v>
      </c>
      <c r="I35" t="str">
        <f>L12</f>
        <v>E</v>
      </c>
      <c r="J35" t="str">
        <f>G20</f>
        <v>E</v>
      </c>
      <c r="K35" t="str">
        <f>G28</f>
        <v>P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B3FB45CE-46DE-4C31-8D0F-08813DAEF788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1659A-9E19-4826-9821-753E1A6C46FA}">
  <sheetPr codeName="Hoja20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0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0</v>
      </c>
      <c r="AY6" s="147"/>
      <c r="BB6" s="147">
        <f>(BB10=BB15)+(BB15=BB20)+(BB20=BB25)+(BB10=BB20)+(BB15=BB25)+(BB10=BB25)</f>
        <v>0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17</v>
      </c>
      <c r="B8" s="196">
        <v>17</v>
      </c>
      <c r="C8" s="195">
        <f>VLOOKUP(A8,tDatos[],IF(UTCElegido="",3,12),0)</f>
        <v>46189</v>
      </c>
      <c r="D8" s="197">
        <f>VLOOKUP(A8,tDatos[],IF(UTCElegido="",4,12),0)</f>
        <v>0.625</v>
      </c>
      <c r="E8" s="18"/>
      <c r="F8" s="198" t="str">
        <f>VLOOKUP(A8,tDatos[],5,0)</f>
        <v>FRANCIA</v>
      </c>
      <c r="G8" s="192" t="str">
        <f>IF(AND(I8&lt;&gt;"",K8&lt;&gt;""),IF(I8=K8,"E",IF(I8&gt;K8,"G","P")),"")</f>
        <v>G</v>
      </c>
      <c r="H8" s="20"/>
      <c r="I8" s="280">
        <f>IF(Ingreso!G105="","",Ingreso!G105)</f>
        <v>3</v>
      </c>
      <c r="J8" s="237" t="s">
        <v>0</v>
      </c>
      <c r="K8" s="280">
        <f>IF(Ingreso!J105="","",Ingreso!J105)</f>
        <v>1</v>
      </c>
      <c r="L8" s="192" t="str">
        <f>IF(AND(K8&lt;&gt;"",I8&lt;&gt;""),IF(K8=I8,"E",IF(K8&gt;I8,"G","P")),"")</f>
        <v>P</v>
      </c>
      <c r="M8" s="19"/>
      <c r="N8" s="193" t="str">
        <f>VLOOKUP(A8,tDatos[],6,0)</f>
        <v>SENEGAL</v>
      </c>
      <c r="O8" s="18"/>
      <c r="P8" s="218" t="str">
        <f>VLOOKUP(A8,tDatos[],9,0)</f>
        <v>N. York/N. Jersey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FRANCIASENEGAL</v>
      </c>
      <c r="AS8" s="148" t="str">
        <f>IF(I8&gt;K8,F8,IF(K8&gt;I8,N8,""))</f>
        <v>FRANCIA</v>
      </c>
      <c r="AT8" s="149">
        <f>I8</f>
        <v>3</v>
      </c>
      <c r="AU8" s="149">
        <f>K8</f>
        <v>1</v>
      </c>
      <c r="AV8" s="149">
        <f>AT8-AU8</f>
        <v>2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SENEGALFRANCIA</v>
      </c>
      <c r="AS9" s="148" t="str">
        <f>IF(I8&gt;K8,F8,IF(K8&gt;I8,N8,""))</f>
        <v>FRANCIA</v>
      </c>
      <c r="AT9" s="149">
        <f>K8</f>
        <v>1</v>
      </c>
      <c r="AU9" s="149">
        <f>I8</f>
        <v>3</v>
      </c>
      <c r="AV9" s="149">
        <f>AT9-AU9</f>
        <v>-2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FRANCIA</v>
      </c>
      <c r="S10" s="266"/>
      <c r="T10" s="266"/>
      <c r="U10" s="267"/>
      <c r="V10" s="274">
        <f>VLOOKUP(1,$AE$10:$AG$29,3,0)</f>
        <v>3</v>
      </c>
      <c r="W10" s="246">
        <f>VLOOKUP(1,$AE$10:$AH$29,4,0)</f>
        <v>3</v>
      </c>
      <c r="X10" s="246">
        <f>VLOOKUP(1,$AE$10:$AI$29,5,0)</f>
        <v>0</v>
      </c>
      <c r="Y10" s="246">
        <f>VLOOKUP(1,$AE$10:$AJ$29,6,0)</f>
        <v>0</v>
      </c>
      <c r="Z10" s="246">
        <f>VLOOKUP(1,$AE$10:$AK$29,7,0)</f>
        <v>10</v>
      </c>
      <c r="AA10" s="246">
        <f>VLOOKUP(1,$AE$10:$AL$29,8,0)</f>
        <v>2</v>
      </c>
      <c r="AB10" s="246">
        <f>Z10-AA10</f>
        <v>8</v>
      </c>
      <c r="AC10" s="275">
        <f>(W10*3)+X10</f>
        <v>9</v>
      </c>
      <c r="AD10" s="223">
        <f>RANK(AO10,$AO$10:$AO$29,0)</f>
        <v>1</v>
      </c>
      <c r="AE10" s="223">
        <f>RANK(AP10,$AP$10:$AP$29,1)</f>
        <v>1</v>
      </c>
      <c r="AF10" s="223" t="str">
        <f>F8</f>
        <v>FRANCIA</v>
      </c>
      <c r="AG10" s="249">
        <f>3-COUNTIF(I32:K32,"")</f>
        <v>3</v>
      </c>
      <c r="AH10" s="223">
        <f>COUNTIF(I32:K32,"G")</f>
        <v>3</v>
      </c>
      <c r="AI10" s="223">
        <f>COUNTIF(I32:K32,"E")</f>
        <v>0</v>
      </c>
      <c r="AJ10" s="223">
        <f>COUNTIF(I32:K32,"P")</f>
        <v>0</v>
      </c>
      <c r="AK10" s="223">
        <f>SUM(I8,I16,K24)</f>
        <v>10</v>
      </c>
      <c r="AL10" s="223">
        <f>SUM(K8,K16,I24)</f>
        <v>2</v>
      </c>
      <c r="AM10" s="223">
        <f>AK10-AL10</f>
        <v>8</v>
      </c>
      <c r="AN10" s="223">
        <f>(AH10*3)+AI10*vcp</f>
        <v>9</v>
      </c>
      <c r="AO10" s="223">
        <f>IF($AO$6&gt;0,AN10*10+3)</f>
        <v>93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FRANCIA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93</v>
      </c>
      <c r="AY10" s="226">
        <f>IF(AND($AO$6&gt;0,$AP$6&gt;0),AN10*10000+AZ10,AO10)</f>
        <v>93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93</v>
      </c>
      <c r="BC10" s="226">
        <f>AX10+BD10+3</f>
        <v>96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93.03</v>
      </c>
      <c r="BF10" s="225">
        <f>RANK(BE10,$BE$10:$BE$29)</f>
        <v>1</v>
      </c>
      <c r="BG10" s="279">
        <f>BE10-0.03</f>
        <v>93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18</v>
      </c>
      <c r="B12" s="196">
        <v>18</v>
      </c>
      <c r="C12" s="195">
        <f>VLOOKUP(A12,tDatos[],IF(UTCElegido="",3,12),0)</f>
        <v>46189</v>
      </c>
      <c r="D12" s="197">
        <f>VLOOKUP(A12,tDatos[],IF(UTCElegido="",4,12),0)</f>
        <v>0.75</v>
      </c>
      <c r="E12" s="18"/>
      <c r="F12" s="198" t="str">
        <f>VLOOKUP(A12,tDatos[],5,0)</f>
        <v>IRAK</v>
      </c>
      <c r="G12" s="192" t="str">
        <f>IF(AND(I12&lt;&gt;"",K12&lt;&gt;""),IF(I12=K12,"E",IF(I12&gt;K12,"G","P")),"")</f>
        <v>P</v>
      </c>
      <c r="H12" s="20"/>
      <c r="I12" s="280">
        <f>IF(Ingreso!G111="","",Ingreso!G111)</f>
        <v>1</v>
      </c>
      <c r="J12" s="237" t="s">
        <v>0</v>
      </c>
      <c r="K12" s="280">
        <f>IF(Ingreso!J111="","",Ingreso!J111)</f>
        <v>4</v>
      </c>
      <c r="L12" s="192" t="str">
        <f>IF(AND(K12&lt;&gt;"",I12&lt;&gt;""),IF(K12=I12,"E",IF(K12&gt;I12,"G","P")),"")</f>
        <v>G</v>
      </c>
      <c r="M12" s="19"/>
      <c r="N12" s="193" t="str">
        <f>VLOOKUP(A12,tDatos[],6,0)</f>
        <v>NORUEGA</v>
      </c>
      <c r="O12" s="18"/>
      <c r="P12" s="218" t="str">
        <f>VLOOKUP(A12,tDatos[],9,0)</f>
        <v>Boston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IRAKNORUEGA</v>
      </c>
      <c r="AS12" s="148" t="str">
        <f>IF(I12&gt;K12,F12,IF(K12&gt;I12,N12,""))</f>
        <v>NORUEGA</v>
      </c>
      <c r="AT12" s="149">
        <f>I12</f>
        <v>1</v>
      </c>
      <c r="AU12" s="149">
        <f>K12</f>
        <v>4</v>
      </c>
      <c r="AV12" s="149">
        <f>AT12-AU12</f>
        <v>-3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NORUEGAIRAK</v>
      </c>
      <c r="AS13" s="148" t="str">
        <f>IF(I12&gt;K12,F12,IF(K12&gt;I12,N12,""))</f>
        <v>NORUEGA</v>
      </c>
      <c r="AT13" s="149">
        <f>K12</f>
        <v>4</v>
      </c>
      <c r="AU13" s="149">
        <f>I12</f>
        <v>1</v>
      </c>
      <c r="AV13" s="149">
        <f>AT13-AU13</f>
        <v>3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NORUEGA</v>
      </c>
      <c r="S15" s="266"/>
      <c r="T15" s="266"/>
      <c r="U15" s="267"/>
      <c r="V15" s="274">
        <f>VLOOKUP(2,$AE$10:$AG$29,3,0)</f>
        <v>3</v>
      </c>
      <c r="W15" s="246">
        <f>VLOOKUP(2,$AE$10:$AH$29,4,0)</f>
        <v>2</v>
      </c>
      <c r="X15" s="246">
        <f>VLOOKUP(2,$AE$10:$AI$29,5,0)</f>
        <v>0</v>
      </c>
      <c r="Y15" s="246">
        <f>VLOOKUP(2,$AE$10:$AJ$29,6,0)</f>
        <v>1</v>
      </c>
      <c r="Z15" s="246">
        <f>VLOOKUP(2,$AE$10:$AK$29,7,0)</f>
        <v>8</v>
      </c>
      <c r="AA15" s="246">
        <f>VLOOKUP(2,$AE$10:$AL$29,8,0)</f>
        <v>7</v>
      </c>
      <c r="AB15" s="246">
        <f>Z15-AA15</f>
        <v>1</v>
      </c>
      <c r="AC15" s="275">
        <f>(W15*3)+X15</f>
        <v>6</v>
      </c>
      <c r="AD15" s="223">
        <f>RANK(AO15,$AO$10:$AO$29,0)</f>
        <v>3</v>
      </c>
      <c r="AE15" s="223">
        <f>RANK(AP15,$AP$10:$AP$29,1)</f>
        <v>3</v>
      </c>
      <c r="AF15" s="223" t="str">
        <f>N8</f>
        <v>SENEGAL</v>
      </c>
      <c r="AG15" s="249">
        <f>3-COUNTIF(I33:K33,"")</f>
        <v>3</v>
      </c>
      <c r="AH15" s="223">
        <f>COUNTIF(I33:K33,"G")</f>
        <v>1</v>
      </c>
      <c r="AI15" s="223">
        <f>COUNTIF(I33:K33,"E")</f>
        <v>0</v>
      </c>
      <c r="AJ15" s="223">
        <f>COUNTIF(I33:K33,"P")</f>
        <v>2</v>
      </c>
      <c r="AK15" s="249">
        <f>SUM(K8,K20,I28)</f>
        <v>8</v>
      </c>
      <c r="AL15" s="223">
        <f>SUM(I8,I20,K28)</f>
        <v>6</v>
      </c>
      <c r="AM15" s="223">
        <f>AK15-AL15</f>
        <v>2</v>
      </c>
      <c r="AN15" s="223">
        <f>(AH15*3)+AI15*vcp</f>
        <v>3</v>
      </c>
      <c r="AO15" s="223">
        <f>IF($AO$6&gt;0,AN15*10+2)</f>
        <v>32</v>
      </c>
      <c r="AP15" s="223">
        <f>IF(AF15=$R$38,BF15-100,IF(AF15=$R$37,BF15-200,IF(AF15=$R$36,BF15-300,BF15)))</f>
        <v>3</v>
      </c>
      <c r="AQ15" s="223" t="str">
        <f>IF(R37="",IF(SUM($V$10:$V$29)&gt;0,VLOOKUP(2,$AE$10:$AF$29,2,0),""),R37)</f>
        <v>NORUEGA</v>
      </c>
      <c r="AR15" s="151"/>
      <c r="AS15" s="148"/>
      <c r="AT15" s="148"/>
      <c r="AU15" s="148"/>
      <c r="AV15" s="152"/>
      <c r="AW15" s="225">
        <f>RANK(AY15,$AY$10:$AY$29,0)</f>
        <v>3</v>
      </c>
      <c r="AX15" s="226">
        <f>IF(AND($AO$6&gt;0,$AP$6&gt;0),AN15*10000+AZ15,AO15)</f>
        <v>32</v>
      </c>
      <c r="AY15" s="226">
        <f>IF(AND($AO$6&gt;0,$AP$6&gt;0),AN15*10000+AZ15-1,AO15)</f>
        <v>32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3</v>
      </c>
      <c r="BB15" s="225">
        <f>AX15+BD15</f>
        <v>32</v>
      </c>
      <c r="BC15" s="226">
        <f>AX15+BD15+2</f>
        <v>34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32.020000000000003</v>
      </c>
      <c r="BF15" s="225">
        <f>RANK(BE15,$BE$10:$BE$29)</f>
        <v>3</v>
      </c>
      <c r="BG15" s="279">
        <f>BE15-0.02</f>
        <v>32</v>
      </c>
      <c r="BH15" s="279">
        <f>COUNTIF($BG$10:$BG$29,BG15)</f>
        <v>1</v>
      </c>
    </row>
    <row r="16" spans="1:60" ht="7.5" customHeight="1" x14ac:dyDescent="0.25">
      <c r="A16" s="229">
        <v>42</v>
      </c>
      <c r="B16" s="196">
        <v>42</v>
      </c>
      <c r="C16" s="195">
        <f>VLOOKUP(A16,tDatos[],IF(UTCElegido="",3,12),0)</f>
        <v>46195</v>
      </c>
      <c r="D16" s="197">
        <f>VLOOKUP(A16,tDatos[],IF(UTCElegido="",4,12),0)</f>
        <v>0.70833333333333337</v>
      </c>
      <c r="E16" s="18"/>
      <c r="F16" s="198" t="str">
        <f>VLOOKUP(A16,tDatos[],5,0)</f>
        <v>FRANCIA</v>
      </c>
      <c r="G16" s="192" t="str">
        <f>IF(AND(I16&lt;&gt;"",K16&lt;&gt;""),IF(I16=K16,"E",IF(I16&gt;K16,"G","P")),"")</f>
        <v>G</v>
      </c>
      <c r="H16" s="20"/>
      <c r="I16" s="280">
        <f>IF(Ingreso!G255="","",Ingreso!G255)</f>
        <v>3</v>
      </c>
      <c r="J16" s="237" t="s">
        <v>0</v>
      </c>
      <c r="K16" s="280">
        <f>IF(Ingreso!J255="","",Ingreso!J255)</f>
        <v>0</v>
      </c>
      <c r="L16" s="192" t="str">
        <f>IF(AND(K16&lt;&gt;"",I16&lt;&gt;""),IF(K16=I16,"E",IF(K16&gt;I16,"G","P")),"")</f>
        <v>P</v>
      </c>
      <c r="M16" s="19"/>
      <c r="N16" s="193" t="str">
        <f>VLOOKUP(A16,tDatos[],6,0)</f>
        <v>IRAK</v>
      </c>
      <c r="O16" s="18"/>
      <c r="P16" s="218" t="str">
        <f>VLOOKUP(A16,tDatos[],9,0)</f>
        <v>Filadelfia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FRANCIAIRAK</v>
      </c>
      <c r="AS16" s="148" t="str">
        <f>IF(I16&gt;K16,F16,IF(K16&gt;I16,N16,""))</f>
        <v>FRANCIA</v>
      </c>
      <c r="AT16" s="149">
        <f>I16</f>
        <v>3</v>
      </c>
      <c r="AU16" s="149">
        <f>K16</f>
        <v>0</v>
      </c>
      <c r="AV16" s="149">
        <f>AT16-AU16</f>
        <v>3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IRAKFRANCIA</v>
      </c>
      <c r="AS17" s="148" t="str">
        <f>IF(I16&gt;K16,F16,IF(K16&gt;I16,N16,""))</f>
        <v>FRANCIA</v>
      </c>
      <c r="AT17" s="149">
        <f>K16</f>
        <v>0</v>
      </c>
      <c r="AU17" s="149">
        <f>I16</f>
        <v>3</v>
      </c>
      <c r="AV17" s="149">
        <f>AT17-AU17</f>
        <v>-3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43</v>
      </c>
      <c r="B20" s="196">
        <v>41</v>
      </c>
      <c r="C20" s="195">
        <f>VLOOKUP(A20,tDatos[],IF(UTCElegido="",3,12),0)</f>
        <v>46195</v>
      </c>
      <c r="D20" s="197">
        <f>VLOOKUP(A20,tDatos[],IF(UTCElegido="",4,12),0)</f>
        <v>0.83333333333333337</v>
      </c>
      <c r="E20" s="18"/>
      <c r="F20" s="198" t="str">
        <f>VLOOKUP(A20,tDatos[],5,0)</f>
        <v>NORUEGA</v>
      </c>
      <c r="G20" s="192" t="str">
        <f>IF(AND(I20&lt;&gt;"",K20&lt;&gt;""),IF(I20=K20,"E",IF(I20&gt;K20,"G","P")),"")</f>
        <v>G</v>
      </c>
      <c r="H20" s="20"/>
      <c r="I20" s="280">
        <f>IF(Ingreso!G261="","",Ingreso!G261)</f>
        <v>3</v>
      </c>
      <c r="J20" s="237" t="s">
        <v>0</v>
      </c>
      <c r="K20" s="280">
        <f>IF(Ingreso!J261="","",Ingreso!J261)</f>
        <v>2</v>
      </c>
      <c r="L20" s="192" t="str">
        <f>IF(AND(K20&lt;&gt;"",I20&lt;&gt;""),IF(K20=I20,"E",IF(K20&gt;I20,"G","P")),"")</f>
        <v>P</v>
      </c>
      <c r="M20" s="19"/>
      <c r="N20" s="193" t="str">
        <f>VLOOKUP(A20,tDatos[],6,0)</f>
        <v>SENEGAL</v>
      </c>
      <c r="O20" s="18"/>
      <c r="P20" s="218" t="str">
        <f>VLOOKUP(A20,tDatos[],9,0)</f>
        <v>N. York/N. Jersey</v>
      </c>
      <c r="R20" s="240" t="str">
        <f>"  3)  " &amp; VLOOKUP(3,$AE$10:$AF$29,2,0)</f>
        <v xml:space="preserve">  3)  SENEGAL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0</v>
      </c>
      <c r="Y20" s="248">
        <f>VLOOKUP(3,$AE$10:$AJ$29,6,0)</f>
        <v>2</v>
      </c>
      <c r="Z20" s="248">
        <f>VLOOKUP(3,$AE$10:$AK$29,7,0)</f>
        <v>8</v>
      </c>
      <c r="AA20" s="248">
        <f>VLOOKUP(3,$AE$10:$AL$29,8,0)</f>
        <v>6</v>
      </c>
      <c r="AB20" s="247">
        <f>Z20-AA20</f>
        <v>2</v>
      </c>
      <c r="AC20" s="252">
        <f>(W20*3)+X20</f>
        <v>3</v>
      </c>
      <c r="AD20" s="223">
        <f>RANK(AO20,$AO$10:$AO$29,0)</f>
        <v>4</v>
      </c>
      <c r="AE20" s="223">
        <f>RANK(AP20,$AP$10:$AP$29,1)</f>
        <v>4</v>
      </c>
      <c r="AF20" s="223" t="str">
        <f>F12</f>
        <v>IRAK</v>
      </c>
      <c r="AG20" s="249">
        <f>3-COUNTIF(I34:K34,"")</f>
        <v>3</v>
      </c>
      <c r="AH20" s="223">
        <f>COUNTIF(I34:K34,"G")</f>
        <v>0</v>
      </c>
      <c r="AI20" s="223">
        <f>COUNTIF(I34:K34,"E")</f>
        <v>0</v>
      </c>
      <c r="AJ20" s="223">
        <f>COUNTIF(I34:K34,"P")</f>
        <v>3</v>
      </c>
      <c r="AK20" s="249">
        <f>SUM(I12,K16,K28)</f>
        <v>1</v>
      </c>
      <c r="AL20" s="249">
        <f>SUM(K12,I16,I28)</f>
        <v>12</v>
      </c>
      <c r="AM20" s="223">
        <f>AK20-AL20</f>
        <v>-11</v>
      </c>
      <c r="AN20" s="223">
        <f>(AH20*3)+AI20*vcp</f>
        <v>0</v>
      </c>
      <c r="AO20" s="223">
        <f>IF($AO$6&gt;0,AN20*10+1)</f>
        <v>1</v>
      </c>
      <c r="AP20" s="223">
        <f>IF(AF20=$R$38,BF20-100,IF(AF20=$R$37,BF20-200,IF(AF20=$R$36,BF20-300,BF20)))</f>
        <v>4</v>
      </c>
      <c r="AQ20" s="223" t="str">
        <f>IF(R38="",IF(SUM($V$10:$V$29)&gt;0,VLOOKUP(3,$AE$10:$AF$29,2,0),""),R38)</f>
        <v>SENEGAL</v>
      </c>
      <c r="AR20" s="148" t="str">
        <f>F20&amp;N20</f>
        <v>NORUEGASENEGAL</v>
      </c>
      <c r="AS20" s="148" t="str">
        <f>IF(I20&gt;K20,F20,IF(K20&gt;I20,N20,""))</f>
        <v>NORUEGA</v>
      </c>
      <c r="AT20" s="149">
        <f>I20</f>
        <v>3</v>
      </c>
      <c r="AU20" s="149">
        <f>K20</f>
        <v>2</v>
      </c>
      <c r="AV20" s="149">
        <f>AT20-AU20</f>
        <v>1</v>
      </c>
      <c r="AW20" s="225">
        <f>RANK(AY20,$AY$10:$AY$29,0)</f>
        <v>4</v>
      </c>
      <c r="AX20" s="226">
        <f>IF(AND($AO$6&gt;0,$AP$6&gt;0),AN20*10000+AZ20,AO20)</f>
        <v>1</v>
      </c>
      <c r="AY20" s="226">
        <f>IF(AND($AO$6&gt;0,$AP$6&gt;0),AN20*10000+AZ20-2,AO20)</f>
        <v>1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4</v>
      </c>
      <c r="BB20" s="225">
        <f>AX20+BD20</f>
        <v>1</v>
      </c>
      <c r="BC20" s="226">
        <f>AX20+BD20+1</f>
        <v>2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1.01</v>
      </c>
      <c r="BF20" s="225">
        <f>RANK(BE20,$BE$10:$BE$29)</f>
        <v>4</v>
      </c>
      <c r="BG20" s="279">
        <f>BE20-0.01</f>
        <v>1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SENEGALNORUEGA</v>
      </c>
      <c r="AS21" s="148" t="str">
        <f>IF(I20&gt;K20,F20,IF(K20&gt;I20,N20,""))</f>
        <v>NORUEGA</v>
      </c>
      <c r="AT21" s="149">
        <f>K20</f>
        <v>2</v>
      </c>
      <c r="AU21" s="149">
        <f>I20</f>
        <v>3</v>
      </c>
      <c r="AV21" s="149">
        <f>AT21-AU21</f>
        <v>-1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61</v>
      </c>
      <c r="B24" s="196">
        <v>61</v>
      </c>
      <c r="C24" s="195">
        <f>VLOOKUP(A24,tDatos[],IF(UTCElegido="",3,12),0)</f>
        <v>46199</v>
      </c>
      <c r="D24" s="197">
        <f>VLOOKUP(A24,tDatos[],IF(UTCElegido="",4,12),0)</f>
        <v>0.625</v>
      </c>
      <c r="E24" s="18"/>
      <c r="F24" s="198" t="str">
        <f>VLOOKUP(A24,tDatos[],5,0)</f>
        <v>NORUEGA</v>
      </c>
      <c r="G24" s="192" t="str">
        <f>IF(AND(I24&lt;&gt;"",K24&lt;&gt;""),IF(I24=K24,"E",IF(I24&gt;K24,"G","P")),"")</f>
        <v>P</v>
      </c>
      <c r="H24" s="20"/>
      <c r="I24" s="280">
        <f>IF(Ingreso!G369="","",Ingreso!G369)</f>
        <v>1</v>
      </c>
      <c r="J24" s="237" t="s">
        <v>0</v>
      </c>
      <c r="K24" s="280">
        <f>IF(Ingreso!J369="","",Ingreso!J369)</f>
        <v>4</v>
      </c>
      <c r="L24" s="192" t="str">
        <f>IF(AND(K24&lt;&gt;"",I24&lt;&gt;""),IF(K24=I24,"E",IF(K24&gt;I24,"G","P")),"")</f>
        <v>G</v>
      </c>
      <c r="M24" s="19"/>
      <c r="N24" s="193" t="str">
        <f>VLOOKUP(A24,tDatos[],6,0)</f>
        <v>FRANCIA</v>
      </c>
      <c r="O24" s="18"/>
      <c r="P24" s="218" t="str">
        <f>VLOOKUP(A24,tDatos[],9,0)</f>
        <v>Boston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NORUEGAFRANCIA</v>
      </c>
      <c r="AS24" s="148" t="str">
        <f>IF(I24&gt;K24,F24,IF(K24&gt;I24,N24,""))</f>
        <v>FRANCIA</v>
      </c>
      <c r="AT24" s="149">
        <f>I24</f>
        <v>1</v>
      </c>
      <c r="AU24" s="149">
        <f>K24</f>
        <v>4</v>
      </c>
      <c r="AV24" s="149">
        <f>AT24-AU24</f>
        <v>-3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IRAK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0</v>
      </c>
      <c r="Y25" s="248">
        <f>VLOOKUP(4,$AE$10:$AJ$29,6,0)</f>
        <v>3</v>
      </c>
      <c r="Z25" s="248">
        <f>VLOOKUP(4,$AE$10:$AK$29,7,0)</f>
        <v>1</v>
      </c>
      <c r="AA25" s="248">
        <f>VLOOKUP(4,$AE$10:$AL$29,8,0)</f>
        <v>12</v>
      </c>
      <c r="AB25" s="247">
        <f>Z25-AA25</f>
        <v>-11</v>
      </c>
      <c r="AC25" s="252">
        <f>(W25*3)+X25</f>
        <v>0</v>
      </c>
      <c r="AD25" s="223">
        <f>RANK(AO25,$AO$10:$AO$29,0)</f>
        <v>2</v>
      </c>
      <c r="AE25" s="223">
        <f>RANK(AP25,$AP$10:$AP$29,1)</f>
        <v>2</v>
      </c>
      <c r="AF25" s="223" t="str">
        <f>N12</f>
        <v>NORUEGA</v>
      </c>
      <c r="AG25" s="249">
        <f>3-COUNTIF(I35:K35,"")</f>
        <v>3</v>
      </c>
      <c r="AH25" s="223">
        <f>COUNTIF(I35:K35,"G")</f>
        <v>2</v>
      </c>
      <c r="AI25" s="223">
        <f>COUNTIF(I35:K35,"E")</f>
        <v>0</v>
      </c>
      <c r="AJ25" s="223">
        <f>COUNTIF(I35:K35,"P")</f>
        <v>1</v>
      </c>
      <c r="AK25" s="249">
        <f>SUM(K12,I20,I24)</f>
        <v>8</v>
      </c>
      <c r="AL25" s="249">
        <f>SUM(I12,K20,K24)</f>
        <v>7</v>
      </c>
      <c r="AM25" s="223">
        <f>AK25-AL25</f>
        <v>1</v>
      </c>
      <c r="AN25" s="223">
        <f>(AH25*3)+AI25*vcp</f>
        <v>6</v>
      </c>
      <c r="AO25" s="223">
        <f>IF($AO$6&gt;0,AN25*10)</f>
        <v>60</v>
      </c>
      <c r="AP25" s="223">
        <f>IF(AF25=$R$38,BF25-100,IF(AF25=$R$37,BF25-200,IF(AF25=$R$36,BF25-300,BF25)))</f>
        <v>2</v>
      </c>
      <c r="AQ25" s="223" t="str">
        <f>IF(SUM($V$10:$V$29)&gt;0,VLOOKUP(4,$AE$10:$AF$29,2,0),"")</f>
        <v>IRAK</v>
      </c>
      <c r="AR25" s="148" t="str">
        <f>N24&amp;F24</f>
        <v>FRANCIANORUEGA</v>
      </c>
      <c r="AS25" s="148" t="str">
        <f>IF(I24&gt;K24,F24,IF(K24&gt;I24,N24,""))</f>
        <v>FRANCIA</v>
      </c>
      <c r="AT25" s="149">
        <f>K24</f>
        <v>4</v>
      </c>
      <c r="AU25" s="149">
        <f>I24</f>
        <v>1</v>
      </c>
      <c r="AV25" s="149">
        <f>AT25-AU25</f>
        <v>3</v>
      </c>
      <c r="AW25" s="225">
        <f>RANK(AY25,$AY$10:$AY$29,0)</f>
        <v>2</v>
      </c>
      <c r="AX25" s="226">
        <f>IF(AND($AO$6&gt;0,$AP$6&gt;0),AN25*10000+AZ25,AO25)</f>
        <v>60</v>
      </c>
      <c r="AY25" s="226">
        <f>IF(AND($AO$6&gt;0,$AP$6&gt;0),AN25*10000+AZ25-3,AO25)</f>
        <v>60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2</v>
      </c>
      <c r="BB25" s="225">
        <f>AX25+BD25</f>
        <v>60</v>
      </c>
      <c r="BC25" s="226">
        <f>AX25+BD25</f>
        <v>60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60</v>
      </c>
      <c r="BF25" s="225">
        <f>RANK(BE25,$BE$10:$BE$29)</f>
        <v>2</v>
      </c>
      <c r="BG25" s="279">
        <f>BE25</f>
        <v>60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62</v>
      </c>
      <c r="B28" s="196">
        <v>62</v>
      </c>
      <c r="C28" s="195">
        <f>VLOOKUP(A28,tDatos[],IF(UTCElegido="",3,12),0)</f>
        <v>46199</v>
      </c>
      <c r="D28" s="197">
        <f>VLOOKUP(A28,tDatos[],IF(UTCElegido="",4,12),0)</f>
        <v>0.625</v>
      </c>
      <c r="E28" s="18"/>
      <c r="F28" s="198" t="str">
        <f>VLOOKUP(A28,tDatos[],5,0)</f>
        <v>SENEGAL</v>
      </c>
      <c r="G28" s="192" t="str">
        <f>IF(AND(I28&lt;&gt;"",K28&lt;&gt;""),IF(I28=K28,"E",IF(I28&gt;K28,"G","P")),"")</f>
        <v>G</v>
      </c>
      <c r="H28" s="20"/>
      <c r="I28" s="280">
        <f>IF(Ingreso!G375="","",Ingreso!G375)</f>
        <v>5</v>
      </c>
      <c r="J28" s="237" t="s">
        <v>0</v>
      </c>
      <c r="K28" s="280">
        <f>IF(Ingreso!J375="","",Ingreso!J375)</f>
        <v>0</v>
      </c>
      <c r="L28" s="192" t="str">
        <f>IF(AND(K28&lt;&gt;"",I28&lt;&gt;""),IF(K28=I28,"E",IF(K28&gt;I28,"G","P")),"")</f>
        <v>P</v>
      </c>
      <c r="M28" s="19"/>
      <c r="N28" s="193" t="str">
        <f>VLOOKUP(A28,tDatos[],6,0)</f>
        <v>IRAK</v>
      </c>
      <c r="O28" s="18"/>
      <c r="P28" s="218" t="str">
        <f>VLOOKUP(A28,tDatos[],9,0)</f>
        <v>Toronto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SENEGALIRAK</v>
      </c>
      <c r="AS28" s="148" t="str">
        <f>IF(I28&gt;K28,F28,IF(K28&gt;I28,N28,""))</f>
        <v>SENEGAL</v>
      </c>
      <c r="AT28" s="149">
        <f>I28</f>
        <v>5</v>
      </c>
      <c r="AU28" s="149">
        <f>K28</f>
        <v>0</v>
      </c>
      <c r="AV28" s="149">
        <f>AT28-AU28</f>
        <v>5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IRAKSENEGAL</v>
      </c>
      <c r="AS29" s="148" t="str">
        <f>IF(I28&gt;K28,F28,IF(K28&gt;I28,N28,""))</f>
        <v>SENEGAL</v>
      </c>
      <c r="AT29" s="149">
        <f>K28</f>
        <v>0</v>
      </c>
      <c r="AU29" s="149">
        <f>I28</f>
        <v>5</v>
      </c>
      <c r="AV29" s="149">
        <f>AT29-AU29</f>
        <v>-5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FRANCIA</v>
      </c>
      <c r="I32" t="str">
        <f>G8</f>
        <v>G</v>
      </c>
      <c r="J32" t="str">
        <f>G16</f>
        <v>G</v>
      </c>
      <c r="K32" t="str">
        <f>L24</f>
        <v>G</v>
      </c>
    </row>
    <row r="33" spans="6:21" hidden="1" x14ac:dyDescent="0.25">
      <c r="F33" t="str">
        <f>N8</f>
        <v>SENEGAL</v>
      </c>
      <c r="I33" t="str">
        <f>L8</f>
        <v>P</v>
      </c>
      <c r="J33" t="str">
        <f>L20</f>
        <v>P</v>
      </c>
      <c r="K33" t="str">
        <f>G28</f>
        <v>G</v>
      </c>
    </row>
    <row r="34" spans="6:21" hidden="1" x14ac:dyDescent="0.25">
      <c r="F34" t="str">
        <f>F12</f>
        <v>IRAK</v>
      </c>
      <c r="I34" t="str">
        <f>G12</f>
        <v>P</v>
      </c>
      <c r="J34" t="str">
        <f>L16</f>
        <v>P</v>
      </c>
      <c r="K34" t="str">
        <f>L28</f>
        <v>P</v>
      </c>
    </row>
    <row r="35" spans="6:21" hidden="1" x14ac:dyDescent="0.25">
      <c r="F35" t="str">
        <f>N12</f>
        <v>NORUEGA</v>
      </c>
      <c r="I35" t="str">
        <f>L12</f>
        <v>G</v>
      </c>
      <c r="J35" t="str">
        <f>G20</f>
        <v>G</v>
      </c>
      <c r="K35" t="str">
        <f>G24</f>
        <v>P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0EE19E7D-1DE4-4871-96B2-73C6D96FC1DD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6D57-5C55-456A-A440-4B5785146B66}">
  <sheetPr codeName="Hoja21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1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1</v>
      </c>
      <c r="AY6" s="147"/>
      <c r="BB6" s="147">
        <f>(BB10=BB15)+(BB15=BB20)+(BB20=BB25)+(BB10=BB20)+(BB15=BB25)+(BB10=BB25)</f>
        <v>1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19</v>
      </c>
      <c r="B8" s="196">
        <v>19</v>
      </c>
      <c r="C8" s="195">
        <f>VLOOKUP(A8,tDatos[],IF(UTCElegido="",3,12),0)</f>
        <v>46189</v>
      </c>
      <c r="D8" s="197">
        <f>VLOOKUP(A8,tDatos[],IF(UTCElegido="",4,12),0)</f>
        <v>0.875</v>
      </c>
      <c r="E8" s="18"/>
      <c r="F8" s="198" t="str">
        <f>VLOOKUP(A8,tDatos[],5,0)</f>
        <v>ARGENTINA</v>
      </c>
      <c r="G8" s="192" t="str">
        <f>IF(AND(I8&lt;&gt;"",K8&lt;&gt;""),IF(I8=K8,"E",IF(I8&gt;K8,"G","P")),"")</f>
        <v>G</v>
      </c>
      <c r="H8" s="20"/>
      <c r="I8" s="280">
        <f>IF(Ingreso!G117="","",Ingreso!G117)</f>
        <v>3</v>
      </c>
      <c r="J8" s="237" t="s">
        <v>0</v>
      </c>
      <c r="K8" s="280">
        <f>IF(Ingreso!J117="","",Ingreso!J117)</f>
        <v>0</v>
      </c>
      <c r="L8" s="192" t="str">
        <f>IF(AND(K8&lt;&gt;"",I8&lt;&gt;""),IF(K8=I8,"E",IF(K8&gt;I8,"G","P")),"")</f>
        <v>P</v>
      </c>
      <c r="M8" s="19"/>
      <c r="N8" s="193" t="str">
        <f>VLOOKUP(A8,tDatos[],6,0)</f>
        <v>ARGELIA</v>
      </c>
      <c r="O8" s="18"/>
      <c r="P8" s="218" t="str">
        <f>VLOOKUP(A8,tDatos[],9,0)</f>
        <v>Kansas City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ARGENTINAARGELIA</v>
      </c>
      <c r="AS8" s="148" t="str">
        <f>IF(I8&gt;K8,F8,IF(K8&gt;I8,N8,""))</f>
        <v>ARGENTINA</v>
      </c>
      <c r="AT8" s="149">
        <f>I8</f>
        <v>3</v>
      </c>
      <c r="AU8" s="149">
        <f>K8</f>
        <v>0</v>
      </c>
      <c r="AV8" s="149">
        <f>AT8-AU8</f>
        <v>3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ARGELIAARGENTINA</v>
      </c>
      <c r="AS9" s="148" t="str">
        <f>IF(I8&gt;K8,F8,IF(K8&gt;I8,N8,""))</f>
        <v>ARGENTINA</v>
      </c>
      <c r="AT9" s="149">
        <f>K8</f>
        <v>0</v>
      </c>
      <c r="AU9" s="149">
        <f>I8</f>
        <v>3</v>
      </c>
      <c r="AV9" s="149">
        <f>AT9-AU9</f>
        <v>-3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ARGENTINA</v>
      </c>
      <c r="S10" s="266"/>
      <c r="T10" s="266"/>
      <c r="U10" s="267"/>
      <c r="V10" s="274">
        <f>VLOOKUP(1,$AE$10:$AG$29,3,0)</f>
        <v>3</v>
      </c>
      <c r="W10" s="246">
        <f>VLOOKUP(1,$AE$10:$AH$29,4,0)</f>
        <v>3</v>
      </c>
      <c r="X10" s="246">
        <f>VLOOKUP(1,$AE$10:$AI$29,5,0)</f>
        <v>0</v>
      </c>
      <c r="Y10" s="246">
        <f>VLOOKUP(1,$AE$10:$AJ$29,6,0)</f>
        <v>0</v>
      </c>
      <c r="Z10" s="246">
        <f>VLOOKUP(1,$AE$10:$AK$29,7,0)</f>
        <v>8</v>
      </c>
      <c r="AA10" s="246">
        <f>VLOOKUP(1,$AE$10:$AL$29,8,0)</f>
        <v>1</v>
      </c>
      <c r="AB10" s="246">
        <f>Z10-AA10</f>
        <v>7</v>
      </c>
      <c r="AC10" s="275">
        <f>(W10*3)+X10</f>
        <v>9</v>
      </c>
      <c r="AD10" s="223">
        <f>RANK(AO10,$AO$10:$AO$29,0)</f>
        <v>1</v>
      </c>
      <c r="AE10" s="223">
        <f>RANK(AP10,$AP$10:$AP$29,1)</f>
        <v>1</v>
      </c>
      <c r="AF10" s="223" t="str">
        <f>F8</f>
        <v>ARGENTINA</v>
      </c>
      <c r="AG10" s="249">
        <f>3-COUNTIF(I32:K32,"")</f>
        <v>3</v>
      </c>
      <c r="AH10" s="223">
        <f>COUNTIF(I32:K32,"G")</f>
        <v>3</v>
      </c>
      <c r="AI10" s="223">
        <f>COUNTIF(I32:K32,"E")</f>
        <v>0</v>
      </c>
      <c r="AJ10" s="223">
        <f>COUNTIF(I32:K32,"P")</f>
        <v>0</v>
      </c>
      <c r="AK10" s="223">
        <f>SUM(I8,I16,K28)</f>
        <v>8</v>
      </c>
      <c r="AL10" s="223">
        <f>SUM(K8,K16,I28)</f>
        <v>1</v>
      </c>
      <c r="AM10" s="223">
        <f>AK10-AL10</f>
        <v>7</v>
      </c>
      <c r="AN10" s="223">
        <f>(AH10*3)+AI10*vcp</f>
        <v>9</v>
      </c>
      <c r="AO10" s="223">
        <f>IF($AO$6&gt;0,AN10*10+3)</f>
        <v>93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ARGENTINA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90000</v>
      </c>
      <c r="AY10" s="226">
        <f>IF(AND($AO$6&gt;0,$AP$6&gt;0),AN10*10000+AZ10,AO10)</f>
        <v>90000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90000</v>
      </c>
      <c r="BC10" s="226">
        <f>AX10+BD10+3</f>
        <v>90003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90097.83</v>
      </c>
      <c r="BF10" s="225">
        <f>RANK(BE10,$BE$10:$BE$29)</f>
        <v>1</v>
      </c>
      <c r="BG10" s="279">
        <f>BE10-0.03</f>
        <v>90097.8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20</v>
      </c>
      <c r="B12" s="196">
        <v>20</v>
      </c>
      <c r="C12" s="195">
        <f>VLOOKUP(A12,tDatos[],IF(UTCElegido="",3,12),0)</f>
        <v>46190</v>
      </c>
      <c r="D12" s="197">
        <f>VLOOKUP(A12,tDatos[],IF(UTCElegido="",4,12),0)</f>
        <v>0</v>
      </c>
      <c r="E12" s="18"/>
      <c r="F12" s="198" t="str">
        <f>VLOOKUP(A12,tDatos[],5,0)</f>
        <v>AUSTRIA</v>
      </c>
      <c r="G12" s="192" t="str">
        <f>IF(AND(I12&lt;&gt;"",K12&lt;&gt;""),IF(I12=K12,"E",IF(I12&gt;K12,"G","P")),"")</f>
        <v>G</v>
      </c>
      <c r="H12" s="20"/>
      <c r="I12" s="280">
        <f>IF(Ingreso!G123="","",Ingreso!G123)</f>
        <v>3</v>
      </c>
      <c r="J12" s="237" t="s">
        <v>0</v>
      </c>
      <c r="K12" s="280">
        <f>IF(Ingreso!J123="","",Ingreso!J123)</f>
        <v>1</v>
      </c>
      <c r="L12" s="192" t="str">
        <f>IF(AND(K12&lt;&gt;"",I12&lt;&gt;""),IF(K12=I12,"E",IF(K12&gt;I12,"G","P")),"")</f>
        <v>P</v>
      </c>
      <c r="M12" s="19"/>
      <c r="N12" s="193" t="str">
        <f>VLOOKUP(A12,tDatos[],6,0)</f>
        <v>JORDANIA</v>
      </c>
      <c r="O12" s="18"/>
      <c r="P12" s="218" t="str">
        <f>VLOOKUP(A12,tDatos[],9,0)</f>
        <v>San Francisco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AUSTRIAJORDANIA</v>
      </c>
      <c r="AS12" s="148" t="str">
        <f>IF(I12&gt;K12,F12,IF(K12&gt;I12,N12,""))</f>
        <v>AUSTRIA</v>
      </c>
      <c r="AT12" s="149">
        <f>I12</f>
        <v>3</v>
      </c>
      <c r="AU12" s="149">
        <f>K12</f>
        <v>1</v>
      </c>
      <c r="AV12" s="149">
        <f>AT12-AU12</f>
        <v>2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JORDANIAAUSTRIA</v>
      </c>
      <c r="AS13" s="148" t="str">
        <f>IF(I12&gt;K12,F12,IF(K12&gt;I12,N12,""))</f>
        <v>AUSTRIA</v>
      </c>
      <c r="AT13" s="149">
        <f>K12</f>
        <v>1</v>
      </c>
      <c r="AU13" s="149">
        <f>I12</f>
        <v>3</v>
      </c>
      <c r="AV13" s="149">
        <f>AT13-AU13</f>
        <v>-2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AUSTRIA</v>
      </c>
      <c r="S15" s="266"/>
      <c r="T15" s="266"/>
      <c r="U15" s="267"/>
      <c r="V15" s="274">
        <f>VLOOKUP(2,$AE$10:$AG$29,3,0)</f>
        <v>3</v>
      </c>
      <c r="W15" s="246">
        <f>VLOOKUP(2,$AE$10:$AH$29,4,0)</f>
        <v>1</v>
      </c>
      <c r="X15" s="246">
        <f>VLOOKUP(2,$AE$10:$AI$29,5,0)</f>
        <v>1</v>
      </c>
      <c r="Y15" s="246">
        <f>VLOOKUP(2,$AE$10:$AJ$29,6,0)</f>
        <v>1</v>
      </c>
      <c r="Z15" s="246">
        <f>VLOOKUP(2,$AE$10:$AK$29,7,0)</f>
        <v>6</v>
      </c>
      <c r="AA15" s="246">
        <f>VLOOKUP(2,$AE$10:$AL$29,8,0)</f>
        <v>6</v>
      </c>
      <c r="AB15" s="246">
        <f>Z15-AA15</f>
        <v>0</v>
      </c>
      <c r="AC15" s="275">
        <f>(W15*3)+X15</f>
        <v>4</v>
      </c>
      <c r="AD15" s="223">
        <f>RANK(AO15,$AO$10:$AO$29,0)</f>
        <v>2</v>
      </c>
      <c r="AE15" s="223">
        <f>RANK(AP15,$AP$10:$AP$29,1)</f>
        <v>3</v>
      </c>
      <c r="AF15" s="223" t="str">
        <f>N8</f>
        <v>ARGELIA</v>
      </c>
      <c r="AG15" s="249">
        <f>3-COUNTIF(I33:K33,"")</f>
        <v>3</v>
      </c>
      <c r="AH15" s="223">
        <f>COUNTIF(I33:K33,"G")</f>
        <v>1</v>
      </c>
      <c r="AI15" s="223">
        <f>COUNTIF(I33:K33,"E")</f>
        <v>1</v>
      </c>
      <c r="AJ15" s="223">
        <f>COUNTIF(I33:K33,"P")</f>
        <v>1</v>
      </c>
      <c r="AK15" s="249">
        <f>SUM(K8,K20,I24)</f>
        <v>5</v>
      </c>
      <c r="AL15" s="223">
        <f>SUM(I8,I20,K24)</f>
        <v>7</v>
      </c>
      <c r="AM15" s="223">
        <f>AK15-AL15</f>
        <v>-2</v>
      </c>
      <c r="AN15" s="223">
        <f>(AH15*3)+AI15*vcp</f>
        <v>4</v>
      </c>
      <c r="AO15" s="223">
        <f>IF($AO$6&gt;0,AN15*10+2)</f>
        <v>42</v>
      </c>
      <c r="AP15" s="223">
        <f>IF(AF15=$R$38,BF15-100,IF(AF15=$R$37,BF15-200,IF(AF15=$R$36,BF15-300,BF15)))</f>
        <v>3</v>
      </c>
      <c r="AQ15" s="223" t="str">
        <f>IF(R37="",IF(SUM($V$10:$V$29)&gt;0,VLOOKUP(2,$AE$10:$AF$29,2,0),""),R37)</f>
        <v>AUSTRIA</v>
      </c>
      <c r="AR15" s="151"/>
      <c r="AS15" s="148"/>
      <c r="AT15" s="148"/>
      <c r="AU15" s="148"/>
      <c r="AV15" s="152"/>
      <c r="AW15" s="225">
        <f>RANK(AY15,$AY$10:$AY$29,0)</f>
        <v>2</v>
      </c>
      <c r="AX15" s="226">
        <f>IF(AND($AO$6&gt;0,$AP$6&gt;0),AN15*10000+AZ15,AO15)</f>
        <v>40000</v>
      </c>
      <c r="AY15" s="226">
        <f>IF(AND($AO$6&gt;0,$AP$6&gt;0),AN15*10000+AZ15-1,AO15)</f>
        <v>39999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2</v>
      </c>
      <c r="BB15" s="225">
        <f>AX15+BD15</f>
        <v>40000</v>
      </c>
      <c r="BC15" s="226">
        <f>AX15+BD15+2</f>
        <v>40002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40038.519999999997</v>
      </c>
      <c r="BF15" s="225">
        <f>RANK(BE15,$BE$10:$BE$29)</f>
        <v>3</v>
      </c>
      <c r="BG15" s="279">
        <f>BE15-0.02</f>
        <v>40038.5</v>
      </c>
      <c r="BH15" s="279">
        <f>COUNTIF($BG$10:$BG$29,BG15)</f>
        <v>1</v>
      </c>
    </row>
    <row r="16" spans="1:60" ht="7.5" customHeight="1" x14ac:dyDescent="0.25">
      <c r="A16" s="229">
        <v>41</v>
      </c>
      <c r="B16" s="196">
        <v>43</v>
      </c>
      <c r="C16" s="195">
        <f>VLOOKUP(A16,tDatos[],IF(UTCElegido="",3,12),0)</f>
        <v>46195</v>
      </c>
      <c r="D16" s="197">
        <f>VLOOKUP(A16,tDatos[],IF(UTCElegido="",4,12),0)</f>
        <v>0.54166666666666663</v>
      </c>
      <c r="E16" s="18"/>
      <c r="F16" s="198" t="str">
        <f>VLOOKUP(A16,tDatos[],5,0)</f>
        <v>ARGENTINA</v>
      </c>
      <c r="G16" s="192" t="str">
        <f>IF(AND(I16&lt;&gt;"",K16&lt;&gt;""),IF(I16=K16,"E",IF(I16&gt;K16,"G","P")),"")</f>
        <v>G</v>
      </c>
      <c r="H16" s="20"/>
      <c r="I16" s="280">
        <f>IF(Ingreso!G249="","",Ingreso!G249)</f>
        <v>2</v>
      </c>
      <c r="J16" s="237" t="s">
        <v>0</v>
      </c>
      <c r="K16" s="280">
        <f>IF(Ingreso!J249="","",Ingreso!J249)</f>
        <v>0</v>
      </c>
      <c r="L16" s="192" t="str">
        <f>IF(AND(K16&lt;&gt;"",I16&lt;&gt;""),IF(K16=I16,"E",IF(K16&gt;I16,"G","P")),"")</f>
        <v>P</v>
      </c>
      <c r="M16" s="19"/>
      <c r="N16" s="193" t="str">
        <f>VLOOKUP(A16,tDatos[],6,0)</f>
        <v>AUSTRIA</v>
      </c>
      <c r="O16" s="18"/>
      <c r="P16" s="218" t="str">
        <f>VLOOKUP(A16,tDatos[],9,0)</f>
        <v>Dallas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ARGENTINAAUSTRIA</v>
      </c>
      <c r="AS16" s="148" t="str">
        <f>IF(I16&gt;K16,F16,IF(K16&gt;I16,N16,""))</f>
        <v>ARGENTINA</v>
      </c>
      <c r="AT16" s="149">
        <f>I16</f>
        <v>2</v>
      </c>
      <c r="AU16" s="149">
        <f>K16</f>
        <v>0</v>
      </c>
      <c r="AV16" s="149">
        <f>AT16-AU16</f>
        <v>2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AUSTRIAARGENTINA</v>
      </c>
      <c r="AS17" s="148" t="str">
        <f>IF(I16&gt;K16,F16,IF(K16&gt;I16,N16,""))</f>
        <v>ARGENTINA</v>
      </c>
      <c r="AT17" s="149">
        <f>K16</f>
        <v>0</v>
      </c>
      <c r="AU17" s="149">
        <f>I16</f>
        <v>2</v>
      </c>
      <c r="AV17" s="149">
        <f>AT17-AU17</f>
        <v>-2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44</v>
      </c>
      <c r="B20" s="196">
        <v>44</v>
      </c>
      <c r="C20" s="195">
        <f>VLOOKUP(A20,tDatos[],IF(UTCElegido="",3,12),0)</f>
        <v>46195</v>
      </c>
      <c r="D20" s="197">
        <f>VLOOKUP(A20,tDatos[],IF(UTCElegido="",4,12),0)</f>
        <v>0.95833333333333337</v>
      </c>
      <c r="E20" s="18"/>
      <c r="F20" s="198" t="str">
        <f>VLOOKUP(A20,tDatos[],5,0)</f>
        <v>JORDANIA</v>
      </c>
      <c r="G20" s="192" t="str">
        <f>IF(AND(I20&lt;&gt;"",K20&lt;&gt;""),IF(I20=K20,"E",IF(I20&gt;K20,"G","P")),"")</f>
        <v>P</v>
      </c>
      <c r="H20" s="20"/>
      <c r="I20" s="280">
        <f>IF(Ingreso!G267="","",Ingreso!G267)</f>
        <v>1</v>
      </c>
      <c r="J20" s="237" t="s">
        <v>0</v>
      </c>
      <c r="K20" s="280">
        <f>IF(Ingreso!J267="","",Ingreso!J267)</f>
        <v>2</v>
      </c>
      <c r="L20" s="192" t="str">
        <f>IF(AND(K20&lt;&gt;"",I20&lt;&gt;""),IF(K20=I20,"E",IF(K20&gt;I20,"G","P")),"")</f>
        <v>G</v>
      </c>
      <c r="M20" s="19"/>
      <c r="N20" s="193" t="str">
        <f>VLOOKUP(A20,tDatos[],6,0)</f>
        <v>ARGELIA</v>
      </c>
      <c r="O20" s="18"/>
      <c r="P20" s="218" t="str">
        <f>VLOOKUP(A20,tDatos[],9,0)</f>
        <v>San Francisco</v>
      </c>
      <c r="R20" s="240" t="str">
        <f>"  3)  " &amp; VLOOKUP(3,$AE$10:$AF$29,2,0)</f>
        <v xml:space="preserve">  3)  ARGELIA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1</v>
      </c>
      <c r="Y20" s="248">
        <f>VLOOKUP(3,$AE$10:$AJ$29,6,0)</f>
        <v>1</v>
      </c>
      <c r="Z20" s="248">
        <f>VLOOKUP(3,$AE$10:$AK$29,7,0)</f>
        <v>5</v>
      </c>
      <c r="AA20" s="248">
        <f>VLOOKUP(3,$AE$10:$AL$29,8,0)</f>
        <v>7</v>
      </c>
      <c r="AB20" s="247">
        <f>Z20-AA20</f>
        <v>-2</v>
      </c>
      <c r="AC20" s="252">
        <f>(W20*3)+X20</f>
        <v>4</v>
      </c>
      <c r="AD20" s="223">
        <f>RANK(AO20,$AO$10:$AO$29,0)</f>
        <v>3</v>
      </c>
      <c r="AE20" s="223">
        <f>RANK(AP20,$AP$10:$AP$29,1)</f>
        <v>2</v>
      </c>
      <c r="AF20" s="223" t="str">
        <f>F12</f>
        <v>AUSTRIA</v>
      </c>
      <c r="AG20" s="249">
        <f>3-COUNTIF(I34:K34,"")</f>
        <v>3</v>
      </c>
      <c r="AH20" s="223">
        <f>COUNTIF(I34:K34,"G")</f>
        <v>1</v>
      </c>
      <c r="AI20" s="223">
        <f>COUNTIF(I34:K34,"E")</f>
        <v>1</v>
      </c>
      <c r="AJ20" s="223">
        <f>COUNTIF(I34:K34,"P")</f>
        <v>1</v>
      </c>
      <c r="AK20" s="249">
        <f>SUM(I12,K16,K24)</f>
        <v>6</v>
      </c>
      <c r="AL20" s="249">
        <f>SUM(K12,I16,I24)</f>
        <v>6</v>
      </c>
      <c r="AM20" s="223">
        <f>AK20-AL20</f>
        <v>0</v>
      </c>
      <c r="AN20" s="223">
        <f>(AH20*3)+AI20*vcp</f>
        <v>4</v>
      </c>
      <c r="AO20" s="223">
        <f>IF($AO$6&gt;0,AN20*10+1)</f>
        <v>41</v>
      </c>
      <c r="AP20" s="223">
        <f>IF(AF20=$R$38,BF20-100,IF(AF20=$R$37,BF20-200,IF(AF20=$R$36,BF20-300,BF20)))</f>
        <v>2</v>
      </c>
      <c r="AQ20" s="223" t="str">
        <f>IF(R38="",IF(SUM($V$10:$V$29)&gt;0,VLOOKUP(3,$AE$10:$AF$29,2,0),""),R38)</f>
        <v>ARGELIA</v>
      </c>
      <c r="AR20" s="148" t="str">
        <f>F20&amp;N20</f>
        <v>JORDANIAARGELIA</v>
      </c>
      <c r="AS20" s="148" t="str">
        <f>IF(I20&gt;K20,F20,IF(K20&gt;I20,N20,""))</f>
        <v>ARGELIA</v>
      </c>
      <c r="AT20" s="149">
        <f>I20</f>
        <v>1</v>
      </c>
      <c r="AU20" s="149">
        <f>K20</f>
        <v>2</v>
      </c>
      <c r="AV20" s="149">
        <f>AT20-AU20</f>
        <v>-1</v>
      </c>
      <c r="AW20" s="225">
        <f>RANK(AY20,$AY$10:$AY$29,0)</f>
        <v>3</v>
      </c>
      <c r="AX20" s="226">
        <f>IF(AND($AO$6&gt;0,$AP$6&gt;0),AN20*10000+AZ20,AO20)</f>
        <v>40000</v>
      </c>
      <c r="AY20" s="226">
        <f>IF(AND($AO$6&gt;0,$AP$6&gt;0),AN20*10000+AZ20-2,AO20)</f>
        <v>39998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2</v>
      </c>
      <c r="BB20" s="225">
        <f>AX20+BD20</f>
        <v>40000</v>
      </c>
      <c r="BC20" s="226">
        <f>AX20+BD20+1</f>
        <v>40001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40040.61</v>
      </c>
      <c r="BF20" s="225">
        <f>RANK(BE20,$BE$10:$BE$29)</f>
        <v>2</v>
      </c>
      <c r="BG20" s="279">
        <f>BE20-0.01</f>
        <v>40040.6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ARGELIAJORDANIA</v>
      </c>
      <c r="AS21" s="148" t="str">
        <f>IF(I20&gt;K20,F20,IF(K20&gt;I20,N20,""))</f>
        <v>ARGELIA</v>
      </c>
      <c r="AT21" s="149">
        <f>K20</f>
        <v>2</v>
      </c>
      <c r="AU21" s="149">
        <f>I20</f>
        <v>1</v>
      </c>
      <c r="AV21" s="149">
        <f>AT21-AU21</f>
        <v>1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71</v>
      </c>
      <c r="B24" s="196">
        <v>69</v>
      </c>
      <c r="C24" s="195">
        <f>VLOOKUP(A24,tDatos[],IF(UTCElegido="",3,12),0)</f>
        <v>46200</v>
      </c>
      <c r="D24" s="197">
        <f>VLOOKUP(A24,tDatos[],IF(UTCElegido="",4,12),0)</f>
        <v>0.91666666666666663</v>
      </c>
      <c r="E24" s="18"/>
      <c r="F24" s="198" t="str">
        <f>VLOOKUP(A24,tDatos[],5,0)</f>
        <v>ARGELIA</v>
      </c>
      <c r="G24" s="192" t="str">
        <f>IF(AND(I24&lt;&gt;"",K24&lt;&gt;""),IF(I24=K24,"E",IF(I24&gt;K24,"G","P")),"")</f>
        <v>E</v>
      </c>
      <c r="H24" s="20"/>
      <c r="I24" s="280">
        <f>IF(Ingreso!G429="","",Ingreso!G429)</f>
        <v>3</v>
      </c>
      <c r="J24" s="237" t="s">
        <v>0</v>
      </c>
      <c r="K24" s="280">
        <f>IF(Ingreso!J429="","",Ingreso!J429)</f>
        <v>3</v>
      </c>
      <c r="L24" s="192" t="str">
        <f>IF(AND(K24&lt;&gt;"",I24&lt;&gt;""),IF(K24=I24,"E",IF(K24&gt;I24,"G","P")),"")</f>
        <v>E</v>
      </c>
      <c r="M24" s="19"/>
      <c r="N24" s="193" t="str">
        <f>VLOOKUP(A24,tDatos[],6,0)</f>
        <v>AUSTRIA</v>
      </c>
      <c r="O24" s="18"/>
      <c r="P24" s="218" t="str">
        <f>VLOOKUP(A24,tDatos[],9,0)</f>
        <v>Kansas City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ARGELIAAUSTRIA</v>
      </c>
      <c r="AS24" s="148" t="str">
        <f>IF(I24&gt;K24,F24,IF(K24&gt;I24,N24,""))</f>
        <v/>
      </c>
      <c r="AT24" s="149">
        <f>I24</f>
        <v>3</v>
      </c>
      <c r="AU24" s="149">
        <f>K24</f>
        <v>3</v>
      </c>
      <c r="AV24" s="149">
        <f>AT24-AU24</f>
        <v>0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JORDANIA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0</v>
      </c>
      <c r="Y25" s="248">
        <f>VLOOKUP(4,$AE$10:$AJ$29,6,0)</f>
        <v>3</v>
      </c>
      <c r="Z25" s="248">
        <f>VLOOKUP(4,$AE$10:$AK$29,7,0)</f>
        <v>3</v>
      </c>
      <c r="AA25" s="248">
        <f>VLOOKUP(4,$AE$10:$AL$29,8,0)</f>
        <v>8</v>
      </c>
      <c r="AB25" s="247">
        <f>Z25-AA25</f>
        <v>-5</v>
      </c>
      <c r="AC25" s="252">
        <f>(W25*3)+X25</f>
        <v>0</v>
      </c>
      <c r="AD25" s="223">
        <f>RANK(AO25,$AO$10:$AO$29,0)</f>
        <v>4</v>
      </c>
      <c r="AE25" s="223">
        <f>RANK(AP25,$AP$10:$AP$29,1)</f>
        <v>4</v>
      </c>
      <c r="AF25" s="223" t="str">
        <f>N12</f>
        <v>JORDANIA</v>
      </c>
      <c r="AG25" s="249">
        <f>3-COUNTIF(I35:K35,"")</f>
        <v>3</v>
      </c>
      <c r="AH25" s="223">
        <f>COUNTIF(I35:K35,"G")</f>
        <v>0</v>
      </c>
      <c r="AI25" s="223">
        <f>COUNTIF(I35:K35,"E")</f>
        <v>0</v>
      </c>
      <c r="AJ25" s="223">
        <f>COUNTIF(I35:K35,"P")</f>
        <v>3</v>
      </c>
      <c r="AK25" s="249">
        <f>SUM(K12,I20,I28)</f>
        <v>3</v>
      </c>
      <c r="AL25" s="249">
        <f>SUM(I12,K20,K28)</f>
        <v>8</v>
      </c>
      <c r="AM25" s="223">
        <f>AK25-AL25</f>
        <v>-5</v>
      </c>
      <c r="AN25" s="223">
        <f>(AH25*3)+AI25*vcp</f>
        <v>0</v>
      </c>
      <c r="AO25" s="223">
        <f>IF($AO$6&gt;0,AN25*10)</f>
        <v>0</v>
      </c>
      <c r="AP25" s="223">
        <f>IF(AF25=$R$38,BF25-100,IF(AF25=$R$37,BF25-200,IF(AF25=$R$36,BF25-300,BF25)))</f>
        <v>4</v>
      </c>
      <c r="AQ25" s="223" t="str">
        <f>IF(SUM($V$10:$V$29)&gt;0,VLOOKUP(4,$AE$10:$AF$29,2,0),"")</f>
        <v>JORDANIA</v>
      </c>
      <c r="AR25" s="148" t="str">
        <f>N24&amp;F24</f>
        <v>AUSTRIAARGELIA</v>
      </c>
      <c r="AS25" s="148" t="str">
        <f>IF(I24&gt;K24,F24,IF(K24&gt;I24,N24,""))</f>
        <v/>
      </c>
      <c r="AT25" s="149">
        <f>K24</f>
        <v>3</v>
      </c>
      <c r="AU25" s="149">
        <f>I24</f>
        <v>3</v>
      </c>
      <c r="AV25" s="149">
        <f>AT25-AU25</f>
        <v>0</v>
      </c>
      <c r="AW25" s="225">
        <f>RANK(AY25,$AY$10:$AY$29,0)</f>
        <v>4</v>
      </c>
      <c r="AX25" s="226">
        <f>IF(AND($AO$6&gt;0,$AP$6&gt;0),AN25*10000+AZ25,AO25)</f>
        <v>0</v>
      </c>
      <c r="AY25" s="226">
        <f>IF(AND($AO$6&gt;0,$AP$6&gt;0),AN25*10000+AZ25-3,AO25)</f>
        <v>-3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4</v>
      </c>
      <c r="BB25" s="225">
        <f>AX25+BD25</f>
        <v>0</v>
      </c>
      <c r="BC25" s="226">
        <f>AX25+BD25</f>
        <v>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-4.7</v>
      </c>
      <c r="BF25" s="225">
        <f>RANK(BE25,$BE$10:$BE$29)</f>
        <v>4</v>
      </c>
      <c r="BG25" s="279">
        <f>BE25</f>
        <v>-4.7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72</v>
      </c>
      <c r="B28" s="196">
        <v>70</v>
      </c>
      <c r="C28" s="195">
        <f>VLOOKUP(A28,tDatos[],IF(UTCElegido="",3,12),0)</f>
        <v>46200</v>
      </c>
      <c r="D28" s="197">
        <f>VLOOKUP(A28,tDatos[],IF(UTCElegido="",4,12),0)</f>
        <v>0.91666666666666663</v>
      </c>
      <c r="E28" s="18"/>
      <c r="F28" s="198" t="str">
        <f>VLOOKUP(A28,tDatos[],5,0)</f>
        <v>JORDANIA</v>
      </c>
      <c r="G28" s="192" t="str">
        <f>IF(AND(I28&lt;&gt;"",K28&lt;&gt;""),IF(I28=K28,"E",IF(I28&gt;K28,"G","P")),"")</f>
        <v>P</v>
      </c>
      <c r="H28" s="20"/>
      <c r="I28" s="280">
        <f>IF(Ingreso!G435="","",Ingreso!G435)</f>
        <v>1</v>
      </c>
      <c r="J28" s="237" t="s">
        <v>0</v>
      </c>
      <c r="K28" s="280">
        <f>IF(Ingreso!J435="","",Ingreso!J435)</f>
        <v>3</v>
      </c>
      <c r="L28" s="192" t="str">
        <f>IF(AND(K28&lt;&gt;"",I28&lt;&gt;""),IF(K28=I28,"E",IF(K28&gt;I28,"G","P")),"")</f>
        <v>G</v>
      </c>
      <c r="M28" s="19"/>
      <c r="N28" s="193" t="str">
        <f>VLOOKUP(A28,tDatos[],6,0)</f>
        <v>ARGENTINA</v>
      </c>
      <c r="O28" s="18"/>
      <c r="P28" s="218" t="str">
        <f>VLOOKUP(A28,tDatos[],9,0)</f>
        <v>Dallas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JORDANIAARGENTINA</v>
      </c>
      <c r="AS28" s="148" t="str">
        <f>IF(I28&gt;K28,F28,IF(K28&gt;I28,N28,""))</f>
        <v>ARGENTINA</v>
      </c>
      <c r="AT28" s="149">
        <f>I28</f>
        <v>1</v>
      </c>
      <c r="AU28" s="149">
        <f>K28</f>
        <v>3</v>
      </c>
      <c r="AV28" s="149">
        <f>AT28-AU28</f>
        <v>-2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ARGENTINAJORDANIA</v>
      </c>
      <c r="AS29" s="148" t="str">
        <f>IF(I28&gt;K28,F28,IF(K28&gt;I28,N28,""))</f>
        <v>ARGENTINA</v>
      </c>
      <c r="AT29" s="149">
        <f>K28</f>
        <v>3</v>
      </c>
      <c r="AU29" s="149">
        <f>I28</f>
        <v>1</v>
      </c>
      <c r="AV29" s="149">
        <f>AT29-AU29</f>
        <v>2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ARGENTINA</v>
      </c>
      <c r="I32" t="str">
        <f>G8</f>
        <v>G</v>
      </c>
      <c r="J32" t="str">
        <f>G16</f>
        <v>G</v>
      </c>
      <c r="K32" t="str">
        <f>L28</f>
        <v>G</v>
      </c>
    </row>
    <row r="33" spans="6:21" hidden="1" x14ac:dyDescent="0.25">
      <c r="F33" t="str">
        <f>N8</f>
        <v>ARGELIA</v>
      </c>
      <c r="I33" t="str">
        <f>L8</f>
        <v>P</v>
      </c>
      <c r="J33" t="str">
        <f>L20</f>
        <v>G</v>
      </c>
      <c r="K33" t="str">
        <f>G24</f>
        <v>E</v>
      </c>
    </row>
    <row r="34" spans="6:21" hidden="1" x14ac:dyDescent="0.25">
      <c r="F34" t="str">
        <f>F12</f>
        <v>AUSTRIA</v>
      </c>
      <c r="I34" t="str">
        <f>G12</f>
        <v>G</v>
      </c>
      <c r="J34" t="str">
        <f>L16</f>
        <v>P</v>
      </c>
      <c r="K34" t="str">
        <f>L24</f>
        <v>E</v>
      </c>
    </row>
    <row r="35" spans="6:21" hidden="1" x14ac:dyDescent="0.25">
      <c r="F35" t="str">
        <f>N12</f>
        <v>JORDANIA</v>
      </c>
      <c r="I35" t="str">
        <f>L12</f>
        <v>P</v>
      </c>
      <c r="J35" t="str">
        <f>G20</f>
        <v>P</v>
      </c>
      <c r="K35" t="str">
        <f>G28</f>
        <v>P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E88CE448-0E31-47C4-9C2A-88679A9E331D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1FC7-CB06-493E-B8F1-AE868CA4A6DE}">
  <sheetPr codeName="Hoja22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0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0</v>
      </c>
      <c r="AY6" s="147"/>
      <c r="BB6" s="147">
        <f>(BB10=BB15)+(BB15=BB20)+(BB20=BB25)+(BB10=BB20)+(BB15=BB25)+(BB10=BB25)</f>
        <v>0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21</v>
      </c>
      <c r="B8" s="196">
        <v>23</v>
      </c>
      <c r="C8" s="195">
        <f>VLOOKUP(A8,tDatos[],IF(UTCElegido="",3,12),0)</f>
        <v>46190</v>
      </c>
      <c r="D8" s="197">
        <f>VLOOKUP(A8,tDatos[],IF(UTCElegido="",4,12),0)</f>
        <v>0.54166666666666663</v>
      </c>
      <c r="E8" s="18"/>
      <c r="F8" s="198" t="str">
        <f>VLOOKUP(A8,tDatos[],5,0)</f>
        <v>PORTUGAL</v>
      </c>
      <c r="G8" s="192" t="str">
        <f>IF(AND(I8&lt;&gt;"",K8&lt;&gt;""),IF(I8=K8,"E",IF(I8&gt;K8,"G","P")),"")</f>
        <v>E</v>
      </c>
      <c r="H8" s="20"/>
      <c r="I8" s="280">
        <f>IF(Ingreso!G129="","",Ingreso!G129)</f>
        <v>1</v>
      </c>
      <c r="J8" s="237" t="s">
        <v>0</v>
      </c>
      <c r="K8" s="280">
        <f>IF(Ingreso!J129="","",Ingreso!J129)</f>
        <v>1</v>
      </c>
      <c r="L8" s="192" t="str">
        <f>IF(AND(K8&lt;&gt;"",I8&lt;&gt;""),IF(K8=I8,"E",IF(K8&gt;I8,"G","P")),"")</f>
        <v>E</v>
      </c>
      <c r="M8" s="19"/>
      <c r="N8" s="193" t="str">
        <f>VLOOKUP(A8,tDatos[],6,0)</f>
        <v>REP. del CONGO</v>
      </c>
      <c r="O8" s="18"/>
      <c r="P8" s="218" t="str">
        <f>VLOOKUP(A8,tDatos[],9,0)</f>
        <v>Houston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PORTUGALREP. del CONGO</v>
      </c>
      <c r="AS8" s="148" t="str">
        <f>IF(I8&gt;K8,F8,IF(K8&gt;I8,N8,""))</f>
        <v/>
      </c>
      <c r="AT8" s="149">
        <f>I8</f>
        <v>1</v>
      </c>
      <c r="AU8" s="149">
        <f>K8</f>
        <v>1</v>
      </c>
      <c r="AV8" s="149">
        <f>AT8-AU8</f>
        <v>0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REP. del CONGOPORTUGAL</v>
      </c>
      <c r="AS9" s="148" t="str">
        <f>IF(I8&gt;K8,F8,IF(K8&gt;I8,N8,""))</f>
        <v/>
      </c>
      <c r="AT9" s="149">
        <f>K8</f>
        <v>1</v>
      </c>
      <c r="AU9" s="149">
        <f>I8</f>
        <v>1</v>
      </c>
      <c r="AV9" s="149">
        <f>AT9-AU9</f>
        <v>0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COLOMBIA</v>
      </c>
      <c r="S10" s="266"/>
      <c r="T10" s="266"/>
      <c r="U10" s="267"/>
      <c r="V10" s="274">
        <f>VLOOKUP(1,$AE$10:$AG$29,3,0)</f>
        <v>3</v>
      </c>
      <c r="W10" s="246">
        <f>VLOOKUP(1,$AE$10:$AH$29,4,0)</f>
        <v>2</v>
      </c>
      <c r="X10" s="246">
        <f>VLOOKUP(1,$AE$10:$AI$29,5,0)</f>
        <v>1</v>
      </c>
      <c r="Y10" s="246">
        <f>VLOOKUP(1,$AE$10:$AJ$29,6,0)</f>
        <v>0</v>
      </c>
      <c r="Z10" s="246">
        <f>VLOOKUP(1,$AE$10:$AK$29,7,0)</f>
        <v>4</v>
      </c>
      <c r="AA10" s="246">
        <f>VLOOKUP(1,$AE$10:$AL$29,8,0)</f>
        <v>1</v>
      </c>
      <c r="AB10" s="246">
        <f>Z10-AA10</f>
        <v>3</v>
      </c>
      <c r="AC10" s="275">
        <f>(W10*3)+X10</f>
        <v>7</v>
      </c>
      <c r="AD10" s="223">
        <f>RANK(AO10,$AO$10:$AO$29,0)</f>
        <v>2</v>
      </c>
      <c r="AE10" s="223">
        <f>RANK(AP10,$AP$10:$AP$29,1)</f>
        <v>2</v>
      </c>
      <c r="AF10" s="223" t="str">
        <f>F8</f>
        <v>PORTUGAL</v>
      </c>
      <c r="AG10" s="249">
        <f>3-COUNTIF(I32:K32,"")</f>
        <v>3</v>
      </c>
      <c r="AH10" s="223">
        <f>COUNTIF(I32:K32,"G")</f>
        <v>1</v>
      </c>
      <c r="AI10" s="223">
        <f>COUNTIF(I32:K32,"E")</f>
        <v>2</v>
      </c>
      <c r="AJ10" s="223">
        <f>COUNTIF(I32:K32,"P")</f>
        <v>0</v>
      </c>
      <c r="AK10" s="223">
        <f>SUM(I8,I16,K24)</f>
        <v>6</v>
      </c>
      <c r="AL10" s="223">
        <f>SUM(K8,K16,I24)</f>
        <v>1</v>
      </c>
      <c r="AM10" s="223">
        <f>AK10-AL10</f>
        <v>5</v>
      </c>
      <c r="AN10" s="223">
        <f>(AH10*3)+AI10*vcp</f>
        <v>5</v>
      </c>
      <c r="AO10" s="223">
        <f>IF($AO$6&gt;0,AN10*10+3)</f>
        <v>53</v>
      </c>
      <c r="AP10" s="223">
        <f>IF(AF10=$R$38,BF10-100,IF(AF10=$R$37,BF10-200,IF(AF10=$R$36,BF10-300,BF10)))</f>
        <v>2</v>
      </c>
      <c r="AQ10" s="223" t="str">
        <f>IF(R36="",IF(SUM($V$10:$V$29)&gt;0,VLOOKUP(1,$AE$10:$AF$29,2,0),""),R36)</f>
        <v>COLOMBIA</v>
      </c>
      <c r="AR10" s="151"/>
      <c r="AS10" s="148"/>
      <c r="AT10" s="148"/>
      <c r="AU10" s="148"/>
      <c r="AV10" s="152"/>
      <c r="AW10" s="225">
        <f>RANK(AY10,$AY$10:$AY$29,0)</f>
        <v>2</v>
      </c>
      <c r="AX10" s="226">
        <f>IF(AND($AO$6&gt;0,$AP$6&gt;0),AN10*10000+AZ10,AO10)</f>
        <v>53</v>
      </c>
      <c r="AY10" s="226">
        <f>IF(AND($AO$6&gt;0,$AP$6&gt;0),AN10*10000+AZ10,AO10)</f>
        <v>53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2</v>
      </c>
      <c r="BB10" s="225">
        <f>AX10+BD10</f>
        <v>53</v>
      </c>
      <c r="BC10" s="226">
        <f>AX10+BD10+3</f>
        <v>56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53.03</v>
      </c>
      <c r="BF10" s="225">
        <f>RANK(BE10,$BE$10:$BE$29)</f>
        <v>2</v>
      </c>
      <c r="BG10" s="279">
        <f>BE10-0.03</f>
        <v>53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24</v>
      </c>
      <c r="B12" s="196">
        <v>24</v>
      </c>
      <c r="C12" s="195">
        <f>VLOOKUP(A12,tDatos[],IF(UTCElegido="",3,12),0)</f>
        <v>46190</v>
      </c>
      <c r="D12" s="197">
        <f>VLOOKUP(A12,tDatos[],IF(UTCElegido="",4,12),0)</f>
        <v>0.91666666666666663</v>
      </c>
      <c r="E12" s="18"/>
      <c r="F12" s="198" t="str">
        <f>VLOOKUP(A12,tDatos[],5,0)</f>
        <v>UZBEKISTÁN</v>
      </c>
      <c r="G12" s="192" t="str">
        <f>IF(AND(I12&lt;&gt;"",K12&lt;&gt;""),IF(I12=K12,"E",IF(I12&gt;K12,"G","P")),"")</f>
        <v>P</v>
      </c>
      <c r="H12" s="20"/>
      <c r="I12" s="280">
        <f>IF(Ingreso!G147="","",Ingreso!G147)</f>
        <v>1</v>
      </c>
      <c r="J12" s="237" t="s">
        <v>0</v>
      </c>
      <c r="K12" s="280">
        <f>IF(Ingreso!J147="","",Ingreso!J147)</f>
        <v>3</v>
      </c>
      <c r="L12" s="192" t="str">
        <f>IF(AND(K12&lt;&gt;"",I12&lt;&gt;""),IF(K12=I12,"E",IF(K12&gt;I12,"G","P")),"")</f>
        <v>G</v>
      </c>
      <c r="M12" s="19"/>
      <c r="N12" s="193" t="str">
        <f>VLOOKUP(A12,tDatos[],6,0)</f>
        <v>COLOMBIA</v>
      </c>
      <c r="O12" s="18"/>
      <c r="P12" s="218" t="str">
        <f>VLOOKUP(A12,tDatos[],9,0)</f>
        <v>Ciudad de México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UZBEKISTÁNCOLOMBIA</v>
      </c>
      <c r="AS12" s="148" t="str">
        <f>IF(I12&gt;K12,F12,IF(K12&gt;I12,N12,""))</f>
        <v>COLOMBIA</v>
      </c>
      <c r="AT12" s="149">
        <f>I12</f>
        <v>1</v>
      </c>
      <c r="AU12" s="149">
        <f>K12</f>
        <v>3</v>
      </c>
      <c r="AV12" s="149">
        <f>AT12-AU12</f>
        <v>-2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COLOMBIAUZBEKISTÁN</v>
      </c>
      <c r="AS13" s="148" t="str">
        <f>IF(I12&gt;K12,F12,IF(K12&gt;I12,N12,""))</f>
        <v>COLOMBIA</v>
      </c>
      <c r="AT13" s="149">
        <f>K12</f>
        <v>3</v>
      </c>
      <c r="AU13" s="149">
        <f>I12</f>
        <v>1</v>
      </c>
      <c r="AV13" s="149">
        <f>AT13-AU13</f>
        <v>2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PORTUGAL</v>
      </c>
      <c r="S15" s="266"/>
      <c r="T15" s="266"/>
      <c r="U15" s="267"/>
      <c r="V15" s="274">
        <f>VLOOKUP(2,$AE$10:$AG$29,3,0)</f>
        <v>3</v>
      </c>
      <c r="W15" s="246">
        <f>VLOOKUP(2,$AE$10:$AH$29,4,0)</f>
        <v>1</v>
      </c>
      <c r="X15" s="246">
        <f>VLOOKUP(2,$AE$10:$AI$29,5,0)</f>
        <v>2</v>
      </c>
      <c r="Y15" s="246">
        <f>VLOOKUP(2,$AE$10:$AJ$29,6,0)</f>
        <v>0</v>
      </c>
      <c r="Z15" s="246">
        <f>VLOOKUP(2,$AE$10:$AK$29,7,0)</f>
        <v>6</v>
      </c>
      <c r="AA15" s="246">
        <f>VLOOKUP(2,$AE$10:$AL$29,8,0)</f>
        <v>1</v>
      </c>
      <c r="AB15" s="246">
        <f>Z15-AA15</f>
        <v>5</v>
      </c>
      <c r="AC15" s="275">
        <f>(W15*3)+X15</f>
        <v>5</v>
      </c>
      <c r="AD15" s="223">
        <f>RANK(AO15,$AO$10:$AO$29,0)</f>
        <v>3</v>
      </c>
      <c r="AE15" s="223">
        <f>RANK(AP15,$AP$10:$AP$29,1)</f>
        <v>3</v>
      </c>
      <c r="AF15" s="223" t="str">
        <f>N8</f>
        <v>REP. del CONGO</v>
      </c>
      <c r="AG15" s="249">
        <f>3-COUNTIF(I33:K33,"")</f>
        <v>3</v>
      </c>
      <c r="AH15" s="223">
        <f>COUNTIF(I33:K33,"G")</f>
        <v>1</v>
      </c>
      <c r="AI15" s="223">
        <f>COUNTIF(I33:K33,"E")</f>
        <v>1</v>
      </c>
      <c r="AJ15" s="223">
        <f>COUNTIF(I33:K33,"P")</f>
        <v>1</v>
      </c>
      <c r="AK15" s="249">
        <f>SUM(K8,K20,I28)</f>
        <v>4</v>
      </c>
      <c r="AL15" s="223">
        <f>SUM(I8,I20,K28)</f>
        <v>3</v>
      </c>
      <c r="AM15" s="223">
        <f>AK15-AL15</f>
        <v>1</v>
      </c>
      <c r="AN15" s="223">
        <f>(AH15*3)+AI15*vcp</f>
        <v>4</v>
      </c>
      <c r="AO15" s="223">
        <f>IF($AO$6&gt;0,AN15*10+2)</f>
        <v>42</v>
      </c>
      <c r="AP15" s="223">
        <f>IF(AF15=$R$38,BF15-100,IF(AF15=$R$37,BF15-200,IF(AF15=$R$36,BF15-300,BF15)))</f>
        <v>3</v>
      </c>
      <c r="AQ15" s="223" t="str">
        <f>IF(R37="",IF(SUM($V$10:$V$29)&gt;0,VLOOKUP(2,$AE$10:$AF$29,2,0),""),R37)</f>
        <v>PORTUGAL</v>
      </c>
      <c r="AR15" s="151"/>
      <c r="AS15" s="148"/>
      <c r="AT15" s="148"/>
      <c r="AU15" s="148"/>
      <c r="AV15" s="152"/>
      <c r="AW15" s="225">
        <f>RANK(AY15,$AY$10:$AY$29,0)</f>
        <v>3</v>
      </c>
      <c r="AX15" s="226">
        <f>IF(AND($AO$6&gt;0,$AP$6&gt;0),AN15*10000+AZ15,AO15)</f>
        <v>42</v>
      </c>
      <c r="AY15" s="226">
        <f>IF(AND($AO$6&gt;0,$AP$6&gt;0),AN15*10000+AZ15-1,AO15)</f>
        <v>42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3</v>
      </c>
      <c r="BB15" s="225">
        <f>AX15+BD15</f>
        <v>42</v>
      </c>
      <c r="BC15" s="226">
        <f>AX15+BD15+2</f>
        <v>44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42.02</v>
      </c>
      <c r="BF15" s="225">
        <f>RANK(BE15,$BE$10:$BE$29)</f>
        <v>3</v>
      </c>
      <c r="BG15" s="279">
        <f>BE15-0.02</f>
        <v>42</v>
      </c>
      <c r="BH15" s="279">
        <f>COUNTIF($BG$10:$BG$29,BG15)</f>
        <v>1</v>
      </c>
    </row>
    <row r="16" spans="1:60" ht="7.5" customHeight="1" x14ac:dyDescent="0.25">
      <c r="A16" s="229">
        <v>45</v>
      </c>
      <c r="B16" s="196">
        <v>47</v>
      </c>
      <c r="C16" s="195">
        <f>VLOOKUP(A16,tDatos[],IF(UTCElegido="",3,12),0)</f>
        <v>46196</v>
      </c>
      <c r="D16" s="197">
        <f>VLOOKUP(A16,tDatos[],IF(UTCElegido="",4,12),0)</f>
        <v>0.54166666666666663</v>
      </c>
      <c r="E16" s="18"/>
      <c r="F16" s="198" t="str">
        <f>VLOOKUP(A16,tDatos[],5,0)</f>
        <v>PORTUGAL</v>
      </c>
      <c r="G16" s="192" t="str">
        <f>IF(AND(I16&lt;&gt;"",K16&lt;&gt;""),IF(I16=K16,"E",IF(I16&gt;K16,"G","P")),"")</f>
        <v>G</v>
      </c>
      <c r="H16" s="20"/>
      <c r="I16" s="280">
        <f>IF(Ingreso!G273="","",Ingreso!G273)</f>
        <v>5</v>
      </c>
      <c r="J16" s="237" t="s">
        <v>0</v>
      </c>
      <c r="K16" s="280">
        <f>IF(Ingreso!J273="","",Ingreso!J273)</f>
        <v>0</v>
      </c>
      <c r="L16" s="192" t="str">
        <f>IF(AND(K16&lt;&gt;"",I16&lt;&gt;""),IF(K16=I16,"E",IF(K16&gt;I16,"G","P")),"")</f>
        <v>P</v>
      </c>
      <c r="M16" s="19"/>
      <c r="N16" s="193" t="str">
        <f>VLOOKUP(A16,tDatos[],6,0)</f>
        <v>UZBEKISTÁN</v>
      </c>
      <c r="O16" s="18"/>
      <c r="P16" s="218" t="str">
        <f>VLOOKUP(A16,tDatos[],9,0)</f>
        <v>Houston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PORTUGALUZBEKISTÁN</v>
      </c>
      <c r="AS16" s="148" t="str">
        <f>IF(I16&gt;K16,F16,IF(K16&gt;I16,N16,""))</f>
        <v>PORTUGAL</v>
      </c>
      <c r="AT16" s="149">
        <f>I16</f>
        <v>5</v>
      </c>
      <c r="AU16" s="149">
        <f>K16</f>
        <v>0</v>
      </c>
      <c r="AV16" s="149">
        <f>AT16-AU16</f>
        <v>5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UZBEKISTÁNPORTUGAL</v>
      </c>
      <c r="AS17" s="148" t="str">
        <f>IF(I16&gt;K16,F16,IF(K16&gt;I16,N16,""))</f>
        <v>PORTUGAL</v>
      </c>
      <c r="AT17" s="149">
        <f>K16</f>
        <v>0</v>
      </c>
      <c r="AU17" s="149">
        <f>I16</f>
        <v>5</v>
      </c>
      <c r="AV17" s="149">
        <f>AT17-AU17</f>
        <v>-5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48</v>
      </c>
      <c r="B20" s="196">
        <v>48</v>
      </c>
      <c r="C20" s="195">
        <f>VLOOKUP(A20,tDatos[],IF(UTCElegido="",3,12),0)</f>
        <v>46196</v>
      </c>
      <c r="D20" s="197">
        <f>VLOOKUP(A20,tDatos[],IF(UTCElegido="",4,12),0)</f>
        <v>0.91666666666666663</v>
      </c>
      <c r="E20" s="18"/>
      <c r="F20" s="198" t="str">
        <f>VLOOKUP(A20,tDatos[],5,0)</f>
        <v>COLOMBIA</v>
      </c>
      <c r="G20" s="192" t="str">
        <f>IF(AND(I20&lt;&gt;"",K20&lt;&gt;""),IF(I20=K20,"E",IF(I20&gt;K20,"G","P")),"")</f>
        <v>G</v>
      </c>
      <c r="H20" s="20"/>
      <c r="I20" s="280">
        <f>IF(Ingreso!G291="","",Ingreso!G291)</f>
        <v>1</v>
      </c>
      <c r="J20" s="237" t="s">
        <v>0</v>
      </c>
      <c r="K20" s="280">
        <f>IF(Ingreso!J291="","",Ingreso!J291)</f>
        <v>0</v>
      </c>
      <c r="L20" s="192" t="str">
        <f>IF(AND(K20&lt;&gt;"",I20&lt;&gt;""),IF(K20=I20,"E",IF(K20&gt;I20,"G","P")),"")</f>
        <v>P</v>
      </c>
      <c r="M20" s="19"/>
      <c r="N20" s="193" t="str">
        <f>VLOOKUP(A20,tDatos[],6,0)</f>
        <v>REP. del CONGO</v>
      </c>
      <c r="O20" s="18"/>
      <c r="P20" s="218" t="str">
        <f>VLOOKUP(A20,tDatos[],9,0)</f>
        <v>Guadalajara</v>
      </c>
      <c r="R20" s="240" t="str">
        <f>"  3)  " &amp; VLOOKUP(3,$AE$10:$AF$29,2,0)</f>
        <v xml:space="preserve">  3)  REP. del CONGO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1</v>
      </c>
      <c r="Y20" s="248">
        <f>VLOOKUP(3,$AE$10:$AJ$29,6,0)</f>
        <v>1</v>
      </c>
      <c r="Z20" s="248">
        <f>VLOOKUP(3,$AE$10:$AK$29,7,0)</f>
        <v>4</v>
      </c>
      <c r="AA20" s="248">
        <f>VLOOKUP(3,$AE$10:$AL$29,8,0)</f>
        <v>3</v>
      </c>
      <c r="AB20" s="247">
        <f>Z20-AA20</f>
        <v>1</v>
      </c>
      <c r="AC20" s="252">
        <f>(W20*3)+X20</f>
        <v>4</v>
      </c>
      <c r="AD20" s="223">
        <f>RANK(AO20,$AO$10:$AO$29,0)</f>
        <v>4</v>
      </c>
      <c r="AE20" s="223">
        <f>RANK(AP20,$AP$10:$AP$29,1)</f>
        <v>4</v>
      </c>
      <c r="AF20" s="223" t="str">
        <f>F12</f>
        <v>UZBEKISTÁN</v>
      </c>
      <c r="AG20" s="249">
        <f>3-COUNTIF(I34:K34,"")</f>
        <v>3</v>
      </c>
      <c r="AH20" s="223">
        <f>COUNTIF(I34:K34,"G")</f>
        <v>0</v>
      </c>
      <c r="AI20" s="223">
        <f>COUNTIF(I34:K34,"E")</f>
        <v>0</v>
      </c>
      <c r="AJ20" s="223">
        <f>COUNTIF(I34:K34,"P")</f>
        <v>3</v>
      </c>
      <c r="AK20" s="249">
        <f>SUM(I12,K16,K28)</f>
        <v>2</v>
      </c>
      <c r="AL20" s="249">
        <f>SUM(K12,I16,I28)</f>
        <v>11</v>
      </c>
      <c r="AM20" s="223">
        <f>AK20-AL20</f>
        <v>-9</v>
      </c>
      <c r="AN20" s="223">
        <f>(AH20*3)+AI20*vcp</f>
        <v>0</v>
      </c>
      <c r="AO20" s="223">
        <f>IF($AO$6&gt;0,AN20*10+1)</f>
        <v>1</v>
      </c>
      <c r="AP20" s="223">
        <f>IF(AF20=$R$38,BF20-100,IF(AF20=$R$37,BF20-200,IF(AF20=$R$36,BF20-300,BF20)))</f>
        <v>4</v>
      </c>
      <c r="AQ20" s="223" t="str">
        <f>IF(R38="",IF(SUM($V$10:$V$29)&gt;0,VLOOKUP(3,$AE$10:$AF$29,2,0),""),R38)</f>
        <v>REP. del CONGO</v>
      </c>
      <c r="AR20" s="148" t="str">
        <f>F20&amp;N20</f>
        <v>COLOMBIAREP. del CONGO</v>
      </c>
      <c r="AS20" s="148" t="str">
        <f>IF(I20&gt;K20,F20,IF(K20&gt;I20,N20,""))</f>
        <v>COLOMBIA</v>
      </c>
      <c r="AT20" s="149">
        <f>I20</f>
        <v>1</v>
      </c>
      <c r="AU20" s="149">
        <f>K20</f>
        <v>0</v>
      </c>
      <c r="AV20" s="149">
        <f>AT20-AU20</f>
        <v>1</v>
      </c>
      <c r="AW20" s="225">
        <f>RANK(AY20,$AY$10:$AY$29,0)</f>
        <v>4</v>
      </c>
      <c r="AX20" s="226">
        <f>IF(AND($AO$6&gt;0,$AP$6&gt;0),AN20*10000+AZ20,AO20)</f>
        <v>1</v>
      </c>
      <c r="AY20" s="226">
        <f>IF(AND($AO$6&gt;0,$AP$6&gt;0),AN20*10000+AZ20-2,AO20)</f>
        <v>1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4</v>
      </c>
      <c r="BB20" s="225">
        <f>AX20+BD20</f>
        <v>1</v>
      </c>
      <c r="BC20" s="226">
        <f>AX20+BD20+1</f>
        <v>2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1.01</v>
      </c>
      <c r="BF20" s="225">
        <f>RANK(BE20,$BE$10:$BE$29)</f>
        <v>4</v>
      </c>
      <c r="BG20" s="279">
        <f>BE20-0.01</f>
        <v>1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REP. del CONGOCOLOMBIA</v>
      </c>
      <c r="AS21" s="148" t="str">
        <f>IF(I20&gt;K20,F20,IF(K20&gt;I20,N20,""))</f>
        <v>COLOMBIA</v>
      </c>
      <c r="AT21" s="149">
        <f>K20</f>
        <v>0</v>
      </c>
      <c r="AU21" s="149">
        <f>I20</f>
        <v>1</v>
      </c>
      <c r="AV21" s="149">
        <f>AT21-AU21</f>
        <v>-1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69</v>
      </c>
      <c r="B24" s="196">
        <v>71</v>
      </c>
      <c r="C24" s="195">
        <f>VLOOKUP(A24,tDatos[],IF(UTCElegido="",3,12),0)</f>
        <v>46200</v>
      </c>
      <c r="D24" s="197">
        <f>VLOOKUP(A24,tDatos[],IF(UTCElegido="",4,12),0)</f>
        <v>0.8125</v>
      </c>
      <c r="E24" s="18"/>
      <c r="F24" s="198" t="str">
        <f>VLOOKUP(A24,tDatos[],5,0)</f>
        <v>COLOMBIA</v>
      </c>
      <c r="G24" s="192" t="str">
        <f>IF(AND(I24&lt;&gt;"",K24&lt;&gt;""),IF(I24=K24,"E",IF(I24&gt;K24,"G","P")),"")</f>
        <v>E</v>
      </c>
      <c r="H24" s="20"/>
      <c r="I24" s="280">
        <f>IF(Ingreso!G417="","",Ingreso!G417)</f>
        <v>0</v>
      </c>
      <c r="J24" s="237" t="s">
        <v>0</v>
      </c>
      <c r="K24" s="280">
        <f>IF(Ingreso!J417="","",Ingreso!J417)</f>
        <v>0</v>
      </c>
      <c r="L24" s="192" t="str">
        <f>IF(AND(K24&lt;&gt;"",I24&lt;&gt;""),IF(K24=I24,"E",IF(K24&gt;I24,"G","P")),"")</f>
        <v>E</v>
      </c>
      <c r="M24" s="19"/>
      <c r="N24" s="193" t="str">
        <f>VLOOKUP(A24,tDatos[],6,0)</f>
        <v>PORTUGAL</v>
      </c>
      <c r="O24" s="18"/>
      <c r="P24" s="218" t="str">
        <f>VLOOKUP(A24,tDatos[],9,0)</f>
        <v>Miami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COLOMBIAPORTUGAL</v>
      </c>
      <c r="AS24" s="148" t="str">
        <f>IF(I24&gt;K24,F24,IF(K24&gt;I24,N24,""))</f>
        <v/>
      </c>
      <c r="AT24" s="149">
        <f>I24</f>
        <v>0</v>
      </c>
      <c r="AU24" s="149">
        <f>K24</f>
        <v>0</v>
      </c>
      <c r="AV24" s="149">
        <f>AT24-AU24</f>
        <v>0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UZBEKISTÁN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0</v>
      </c>
      <c r="Y25" s="248">
        <f>VLOOKUP(4,$AE$10:$AJ$29,6,0)</f>
        <v>3</v>
      </c>
      <c r="Z25" s="248">
        <f>VLOOKUP(4,$AE$10:$AK$29,7,0)</f>
        <v>2</v>
      </c>
      <c r="AA25" s="248">
        <f>VLOOKUP(4,$AE$10:$AL$29,8,0)</f>
        <v>11</v>
      </c>
      <c r="AB25" s="247">
        <f>Z25-AA25</f>
        <v>-9</v>
      </c>
      <c r="AC25" s="252">
        <f>(W25*3)+X25</f>
        <v>0</v>
      </c>
      <c r="AD25" s="223">
        <f>RANK(AO25,$AO$10:$AO$29,0)</f>
        <v>1</v>
      </c>
      <c r="AE25" s="223">
        <f>RANK(AP25,$AP$10:$AP$29,1)</f>
        <v>1</v>
      </c>
      <c r="AF25" s="223" t="str">
        <f>N12</f>
        <v>COLOMBIA</v>
      </c>
      <c r="AG25" s="249">
        <f>3-COUNTIF(I35:K35,"")</f>
        <v>3</v>
      </c>
      <c r="AH25" s="223">
        <f>COUNTIF(I35:K35,"G")</f>
        <v>2</v>
      </c>
      <c r="AI25" s="223">
        <f>COUNTIF(I35:K35,"E")</f>
        <v>1</v>
      </c>
      <c r="AJ25" s="223">
        <f>COUNTIF(I35:K35,"P")</f>
        <v>0</v>
      </c>
      <c r="AK25" s="249">
        <f>SUM(K12,I20,I24)</f>
        <v>4</v>
      </c>
      <c r="AL25" s="249">
        <f>SUM(I12,K20,K24)</f>
        <v>1</v>
      </c>
      <c r="AM25" s="223">
        <f>AK25-AL25</f>
        <v>3</v>
      </c>
      <c r="AN25" s="223">
        <f>(AH25*3)+AI25*vcp</f>
        <v>7</v>
      </c>
      <c r="AO25" s="223">
        <f>IF($AO$6&gt;0,AN25*10)</f>
        <v>70</v>
      </c>
      <c r="AP25" s="223">
        <f>IF(AF25=$R$38,BF25-100,IF(AF25=$R$37,BF25-200,IF(AF25=$R$36,BF25-300,BF25)))</f>
        <v>1</v>
      </c>
      <c r="AQ25" s="223" t="str">
        <f>IF(SUM($V$10:$V$29)&gt;0,VLOOKUP(4,$AE$10:$AF$29,2,0),"")</f>
        <v>UZBEKISTÁN</v>
      </c>
      <c r="AR25" s="148" t="str">
        <f>N24&amp;F24</f>
        <v>PORTUGALCOLOMBIA</v>
      </c>
      <c r="AS25" s="148" t="str">
        <f>IF(I24&gt;K24,F24,IF(K24&gt;I24,N24,""))</f>
        <v/>
      </c>
      <c r="AT25" s="149">
        <f>K24</f>
        <v>0</v>
      </c>
      <c r="AU25" s="149">
        <f>I24</f>
        <v>0</v>
      </c>
      <c r="AV25" s="149">
        <f>AT25-AU25</f>
        <v>0</v>
      </c>
      <c r="AW25" s="225">
        <f>RANK(AY25,$AY$10:$AY$29,0)</f>
        <v>1</v>
      </c>
      <c r="AX25" s="226">
        <f>IF(AND($AO$6&gt;0,$AP$6&gt;0),AN25*10000+AZ25,AO25)</f>
        <v>70</v>
      </c>
      <c r="AY25" s="226">
        <f>IF(AND($AO$6&gt;0,$AP$6&gt;0),AN25*10000+AZ25-3,AO25)</f>
        <v>70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1</v>
      </c>
      <c r="BB25" s="225">
        <f>AX25+BD25</f>
        <v>70</v>
      </c>
      <c r="BC25" s="226">
        <f>AX25+BD25</f>
        <v>70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70</v>
      </c>
      <c r="BF25" s="225">
        <f>RANK(BE25,$BE$10:$BE$29)</f>
        <v>1</v>
      </c>
      <c r="BG25" s="279">
        <f>BE25</f>
        <v>70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70</v>
      </c>
      <c r="B28" s="196">
        <v>72</v>
      </c>
      <c r="C28" s="195">
        <f>VLOOKUP(A28,tDatos[],IF(UTCElegido="",3,12),0)</f>
        <v>46200</v>
      </c>
      <c r="D28" s="197">
        <f>VLOOKUP(A28,tDatos[],IF(UTCElegido="",4,12),0)</f>
        <v>0.8125</v>
      </c>
      <c r="E28" s="18"/>
      <c r="F28" s="198" t="str">
        <f>VLOOKUP(A28,tDatos[],5,0)</f>
        <v>REP. del CONGO</v>
      </c>
      <c r="G28" s="192" t="str">
        <f>IF(AND(I28&lt;&gt;"",K28&lt;&gt;""),IF(I28=K28,"E",IF(I28&gt;K28,"G","P")),"")</f>
        <v>G</v>
      </c>
      <c r="H28" s="20"/>
      <c r="I28" s="280">
        <f>IF(Ingreso!G423="","",Ingreso!G423)</f>
        <v>3</v>
      </c>
      <c r="J28" s="237" t="s">
        <v>0</v>
      </c>
      <c r="K28" s="280">
        <f>IF(Ingreso!J423="","",Ingreso!J423)</f>
        <v>1</v>
      </c>
      <c r="L28" s="192" t="str">
        <f>IF(AND(K28&lt;&gt;"",I28&lt;&gt;""),IF(K28=I28,"E",IF(K28&gt;I28,"G","P")),"")</f>
        <v>P</v>
      </c>
      <c r="M28" s="19"/>
      <c r="N28" s="193" t="str">
        <f>VLOOKUP(A28,tDatos[],6,0)</f>
        <v>UZBEKISTÁN</v>
      </c>
      <c r="O28" s="18"/>
      <c r="P28" s="218" t="str">
        <f>VLOOKUP(A28,tDatos[],9,0)</f>
        <v>Atlanta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REP. del CONGOUZBEKISTÁN</v>
      </c>
      <c r="AS28" s="148" t="str">
        <f>IF(I28&gt;K28,F28,IF(K28&gt;I28,N28,""))</f>
        <v>REP. del CONGO</v>
      </c>
      <c r="AT28" s="149">
        <f>I28</f>
        <v>3</v>
      </c>
      <c r="AU28" s="149">
        <f>K28</f>
        <v>1</v>
      </c>
      <c r="AV28" s="149">
        <f>AT28-AU28</f>
        <v>2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UZBEKISTÁNREP. del CONGO</v>
      </c>
      <c r="AS29" s="148" t="str">
        <f>IF(I28&gt;K28,F28,IF(K28&gt;I28,N28,""))</f>
        <v>REP. del CONGO</v>
      </c>
      <c r="AT29" s="149">
        <f>K28</f>
        <v>1</v>
      </c>
      <c r="AU29" s="149">
        <f>I28</f>
        <v>3</v>
      </c>
      <c r="AV29" s="149">
        <f>AT29-AU29</f>
        <v>-2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PORTUGAL</v>
      </c>
      <c r="I32" t="str">
        <f>G8</f>
        <v>E</v>
      </c>
      <c r="J32" t="str">
        <f>G16</f>
        <v>G</v>
      </c>
      <c r="K32" t="str">
        <f>L24</f>
        <v>E</v>
      </c>
    </row>
    <row r="33" spans="6:21" hidden="1" x14ac:dyDescent="0.25">
      <c r="F33" t="str">
        <f>N8</f>
        <v>REP. del CONGO</v>
      </c>
      <c r="I33" t="str">
        <f>L8</f>
        <v>E</v>
      </c>
      <c r="J33" t="str">
        <f>L20</f>
        <v>P</v>
      </c>
      <c r="K33" t="str">
        <f>G28</f>
        <v>G</v>
      </c>
    </row>
    <row r="34" spans="6:21" hidden="1" x14ac:dyDescent="0.25">
      <c r="F34" t="str">
        <f>F12</f>
        <v>UZBEKISTÁN</v>
      </c>
      <c r="I34" t="str">
        <f>G12</f>
        <v>P</v>
      </c>
      <c r="J34" t="str">
        <f>L16</f>
        <v>P</v>
      </c>
      <c r="K34" t="str">
        <f>L28</f>
        <v>P</v>
      </c>
    </row>
    <row r="35" spans="6:21" hidden="1" x14ac:dyDescent="0.25">
      <c r="F35" t="str">
        <f>N12</f>
        <v>COLOMBIA</v>
      </c>
      <c r="I35" t="str">
        <f>L12</f>
        <v>G</v>
      </c>
      <c r="J35" t="str">
        <f>G20</f>
        <v>G</v>
      </c>
      <c r="K35" t="str">
        <f>G24</f>
        <v>E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27C4D284-0FD2-4831-8048-15C3D414DC20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AC91-64A7-4665-BD06-2B1D2AB1151A}">
  <sheetPr codeName="Hoja23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F2" s="2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0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0</v>
      </c>
      <c r="AY6" s="147"/>
      <c r="BB6" s="147">
        <f>(BB10=BB15)+(BB15=BB20)+(BB20=BB25)+(BB10=BB20)+(BB15=BB25)+(BB10=BB25)</f>
        <v>0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22</v>
      </c>
      <c r="B8" s="196">
        <v>22</v>
      </c>
      <c r="C8" s="195">
        <f>VLOOKUP(A8,tDatos[],IF(UTCElegido="",3,12),0)</f>
        <v>46190</v>
      </c>
      <c r="D8" s="197">
        <f>VLOOKUP(A8,tDatos[],IF(UTCElegido="",4,12),0)</f>
        <v>0.66666666666666663</v>
      </c>
      <c r="E8" s="18"/>
      <c r="F8" s="198" t="str">
        <f>VLOOKUP(A8,tDatos[],5,0)</f>
        <v>INGLATERRA</v>
      </c>
      <c r="G8" s="192" t="str">
        <f>IF(AND(I8&lt;&gt;"",K8&lt;&gt;""),IF(I8=K8,"E",IF(I8&gt;K8,"G","P")),"")</f>
        <v>G</v>
      </c>
      <c r="H8" s="20"/>
      <c r="I8" s="280">
        <f>IF(Ingreso!G135="","",Ingreso!G135)</f>
        <v>4</v>
      </c>
      <c r="J8" s="237" t="s">
        <v>0</v>
      </c>
      <c r="K8" s="280">
        <f>IF(Ingreso!J135="","",Ingreso!J135)</f>
        <v>2</v>
      </c>
      <c r="L8" s="192" t="str">
        <f>IF(AND(K8&lt;&gt;"",I8&lt;&gt;""),IF(K8=I8,"E",IF(K8&gt;I8,"G","P")),"")</f>
        <v>P</v>
      </c>
      <c r="M8" s="19"/>
      <c r="N8" s="193" t="str">
        <f>VLOOKUP(A8,tDatos[],6,0)</f>
        <v>CROACIA</v>
      </c>
      <c r="O8" s="18"/>
      <c r="P8" s="218" t="str">
        <f>VLOOKUP(A8,tDatos[],9,0)</f>
        <v>Dallas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INGLATERRACROACIA</v>
      </c>
      <c r="AS8" s="148" t="str">
        <f>IF(I8&gt;K8,F8,IF(K8&gt;I8,N8,""))</f>
        <v>INGLATERRA</v>
      </c>
      <c r="AT8" s="149">
        <f>I8</f>
        <v>4</v>
      </c>
      <c r="AU8" s="149">
        <f>K8</f>
        <v>2</v>
      </c>
      <c r="AV8" s="149">
        <f>AT8-AU8</f>
        <v>2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CROACIAINGLATERRA</v>
      </c>
      <c r="AS9" s="148" t="str">
        <f>IF(I8&gt;K8,F8,IF(K8&gt;I8,N8,""))</f>
        <v>INGLATERRA</v>
      </c>
      <c r="AT9" s="149">
        <f>K8</f>
        <v>2</v>
      </c>
      <c r="AU9" s="149">
        <f>I8</f>
        <v>4</v>
      </c>
      <c r="AV9" s="149">
        <f>AT9-AU9</f>
        <v>-2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INGLATERRA</v>
      </c>
      <c r="S10" s="266"/>
      <c r="T10" s="266"/>
      <c r="U10" s="267"/>
      <c r="V10" s="274">
        <f>VLOOKUP(1,$AE$10:$AG$29,3,0)</f>
        <v>3</v>
      </c>
      <c r="W10" s="246">
        <f>VLOOKUP(1,$AE$10:$AH$29,4,0)</f>
        <v>2</v>
      </c>
      <c r="X10" s="246">
        <f>VLOOKUP(1,$AE$10:$AI$29,5,0)</f>
        <v>1</v>
      </c>
      <c r="Y10" s="246">
        <f>VLOOKUP(1,$AE$10:$AJ$29,6,0)</f>
        <v>0</v>
      </c>
      <c r="Z10" s="246">
        <f>VLOOKUP(1,$AE$10:$AK$29,7,0)</f>
        <v>6</v>
      </c>
      <c r="AA10" s="246">
        <f>VLOOKUP(1,$AE$10:$AL$29,8,0)</f>
        <v>2</v>
      </c>
      <c r="AB10" s="246">
        <f>Z10-AA10</f>
        <v>4</v>
      </c>
      <c r="AC10" s="275">
        <f>(W10*3)+X10</f>
        <v>7</v>
      </c>
      <c r="AD10" s="223">
        <f>RANK(AO10,$AO$10:$AO$29,0)</f>
        <v>1</v>
      </c>
      <c r="AE10" s="223">
        <f>RANK(AP10,$AP$10:$AP$29,1)</f>
        <v>1</v>
      </c>
      <c r="AF10" s="223" t="str">
        <f>F8</f>
        <v>INGLATERRA</v>
      </c>
      <c r="AG10" s="249">
        <f>3-COUNTIF(I32:K32,"")</f>
        <v>3</v>
      </c>
      <c r="AH10" s="223">
        <f>COUNTIF(I32:K32,"G")</f>
        <v>2</v>
      </c>
      <c r="AI10" s="223">
        <f>COUNTIF(I32:K32,"E")</f>
        <v>1</v>
      </c>
      <c r="AJ10" s="223">
        <f>COUNTIF(I32:K32,"P")</f>
        <v>0</v>
      </c>
      <c r="AK10" s="223">
        <f>SUM(I8,I16,K24)</f>
        <v>6</v>
      </c>
      <c r="AL10" s="223">
        <f>SUM(K8,K16,I24)</f>
        <v>2</v>
      </c>
      <c r="AM10" s="223">
        <f>AK10-AL10</f>
        <v>4</v>
      </c>
      <c r="AN10" s="223">
        <f>(AH10*3)+AI10*vcp</f>
        <v>7</v>
      </c>
      <c r="AO10" s="223">
        <f>IF($AO$6&gt;0,AN10*10+3)</f>
        <v>73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INGLATERRA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73</v>
      </c>
      <c r="AY10" s="226">
        <f>IF(AND($AO$6&gt;0,$AP$6&gt;0),AN10*10000+AZ10,AO10)</f>
        <v>73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73</v>
      </c>
      <c r="BC10" s="226">
        <f>AX10+BD10+3</f>
        <v>76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73.03</v>
      </c>
      <c r="BF10" s="225">
        <f>RANK(BE10,$BE$10:$BE$29)</f>
        <v>1</v>
      </c>
      <c r="BG10" s="279">
        <f>BE10-0.03</f>
        <v>73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23</v>
      </c>
      <c r="B12" s="196">
        <v>21</v>
      </c>
      <c r="C12" s="195">
        <f>VLOOKUP(A12,tDatos[],IF(UTCElegido="",3,12),0)</f>
        <v>46190</v>
      </c>
      <c r="D12" s="197">
        <f>VLOOKUP(A12,tDatos[],IF(UTCElegido="",4,12),0)</f>
        <v>0.79166666666666663</v>
      </c>
      <c r="E12" s="18"/>
      <c r="F12" s="198" t="str">
        <f>VLOOKUP(A12,tDatos[],5,0)</f>
        <v>GHANA</v>
      </c>
      <c r="G12" s="192" t="str">
        <f>IF(AND(I12&lt;&gt;"",K12&lt;&gt;""),IF(I12=K12,"E",IF(I12&gt;K12,"G","P")),"")</f>
        <v>G</v>
      </c>
      <c r="H12" s="20"/>
      <c r="I12" s="280">
        <f>IF(Ingreso!G141="","",Ingreso!G141)</f>
        <v>1</v>
      </c>
      <c r="J12" s="237" t="s">
        <v>0</v>
      </c>
      <c r="K12" s="280">
        <f>IF(Ingreso!J141="","",Ingreso!J141)</f>
        <v>0</v>
      </c>
      <c r="L12" s="192" t="str">
        <f>IF(AND(K12&lt;&gt;"",I12&lt;&gt;""),IF(K12=I12,"E",IF(K12&gt;I12,"G","P")),"")</f>
        <v>P</v>
      </c>
      <c r="M12" s="19"/>
      <c r="N12" s="193" t="str">
        <f>VLOOKUP(A12,tDatos[],6,0)</f>
        <v>PANAMÁ</v>
      </c>
      <c r="O12" s="18"/>
      <c r="P12" s="218" t="str">
        <f>VLOOKUP(A12,tDatos[],9,0)</f>
        <v>Toronto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GHANAPANAMÁ</v>
      </c>
      <c r="AS12" s="148" t="str">
        <f>IF(I12&gt;K12,F12,IF(K12&gt;I12,N12,""))</f>
        <v>GHANA</v>
      </c>
      <c r="AT12" s="149">
        <f>I12</f>
        <v>1</v>
      </c>
      <c r="AU12" s="149">
        <f>K12</f>
        <v>0</v>
      </c>
      <c r="AV12" s="149">
        <f>AT12-AU12</f>
        <v>1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PANAMÁGHANA</v>
      </c>
      <c r="AS13" s="148" t="str">
        <f>IF(I12&gt;K12,F12,IF(K12&gt;I12,N12,""))</f>
        <v>GHANA</v>
      </c>
      <c r="AT13" s="149">
        <f>K12</f>
        <v>0</v>
      </c>
      <c r="AU13" s="149">
        <f>I12</f>
        <v>1</v>
      </c>
      <c r="AV13" s="149">
        <f>AT13-AU13</f>
        <v>-1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CROACIA</v>
      </c>
      <c r="S15" s="266"/>
      <c r="T15" s="266"/>
      <c r="U15" s="267"/>
      <c r="V15" s="274">
        <f>VLOOKUP(2,$AE$10:$AG$29,3,0)</f>
        <v>3</v>
      </c>
      <c r="W15" s="246">
        <f>VLOOKUP(2,$AE$10:$AH$29,4,0)</f>
        <v>2</v>
      </c>
      <c r="X15" s="246">
        <f>VLOOKUP(2,$AE$10:$AI$29,5,0)</f>
        <v>0</v>
      </c>
      <c r="Y15" s="246">
        <f>VLOOKUP(2,$AE$10:$AJ$29,6,0)</f>
        <v>1</v>
      </c>
      <c r="Z15" s="246">
        <f>VLOOKUP(2,$AE$10:$AK$29,7,0)</f>
        <v>5</v>
      </c>
      <c r="AA15" s="246">
        <f>VLOOKUP(2,$AE$10:$AL$29,8,0)</f>
        <v>5</v>
      </c>
      <c r="AB15" s="246">
        <f>Z15-AA15</f>
        <v>0</v>
      </c>
      <c r="AC15" s="275">
        <f>(W15*3)+X15</f>
        <v>6</v>
      </c>
      <c r="AD15" s="223">
        <f>RANK(AO15,$AO$10:$AO$29,0)</f>
        <v>2</v>
      </c>
      <c r="AE15" s="223">
        <f>RANK(AP15,$AP$10:$AP$29,1)</f>
        <v>2</v>
      </c>
      <c r="AF15" s="223" t="str">
        <f>N8</f>
        <v>CROACIA</v>
      </c>
      <c r="AG15" s="249">
        <f>3-COUNTIF(I33:K33,"")</f>
        <v>3</v>
      </c>
      <c r="AH15" s="223">
        <f>COUNTIF(I33:K33,"G")</f>
        <v>2</v>
      </c>
      <c r="AI15" s="223">
        <f>COUNTIF(I33:K33,"E")</f>
        <v>0</v>
      </c>
      <c r="AJ15" s="223">
        <f>COUNTIF(I33:K33,"P")</f>
        <v>1</v>
      </c>
      <c r="AK15" s="249">
        <f>SUM(K8,K20,I28)</f>
        <v>5</v>
      </c>
      <c r="AL15" s="223">
        <f>SUM(I8,I20,K28)</f>
        <v>5</v>
      </c>
      <c r="AM15" s="223">
        <f>AK15-AL15</f>
        <v>0</v>
      </c>
      <c r="AN15" s="223">
        <f>(AH15*3)+AI15*vcp</f>
        <v>6</v>
      </c>
      <c r="AO15" s="223">
        <f>IF($AO$6&gt;0,AN15*10+2)</f>
        <v>62</v>
      </c>
      <c r="AP15" s="223">
        <f>IF(AF15=$R$38,BF15-100,IF(AF15=$R$37,BF15-200,IF(AF15=$R$36,BF15-300,BF15)))</f>
        <v>2</v>
      </c>
      <c r="AQ15" s="223" t="str">
        <f>IF(R37="",IF(SUM($V$10:$V$29)&gt;0,VLOOKUP(2,$AE$10:$AF$29,2,0),""),R37)</f>
        <v>CROACIA</v>
      </c>
      <c r="AR15" s="151"/>
      <c r="AS15" s="148"/>
      <c r="AT15" s="148"/>
      <c r="AU15" s="148"/>
      <c r="AV15" s="152"/>
      <c r="AW15" s="225">
        <f>RANK(AY15,$AY$10:$AY$29,0)</f>
        <v>2</v>
      </c>
      <c r="AX15" s="226">
        <f>IF(AND($AO$6&gt;0,$AP$6&gt;0),AN15*10000+AZ15,AO15)</f>
        <v>62</v>
      </c>
      <c r="AY15" s="226">
        <f>IF(AND($AO$6&gt;0,$AP$6&gt;0),AN15*10000+AZ15-1,AO15)</f>
        <v>62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2</v>
      </c>
      <c r="BB15" s="225">
        <f>AX15+BD15</f>
        <v>62</v>
      </c>
      <c r="BC15" s="226">
        <f>AX15+BD15+2</f>
        <v>64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62.02</v>
      </c>
      <c r="BF15" s="225">
        <f>RANK(BE15,$BE$10:$BE$29)</f>
        <v>2</v>
      </c>
      <c r="BG15" s="279">
        <f>BE15-0.02</f>
        <v>62</v>
      </c>
      <c r="BH15" s="279">
        <f>COUNTIF($BG$10:$BG$29,BG15)</f>
        <v>1</v>
      </c>
    </row>
    <row r="16" spans="1:60" ht="7.5" customHeight="1" x14ac:dyDescent="0.25">
      <c r="A16" s="229">
        <v>46</v>
      </c>
      <c r="B16" s="196">
        <v>45</v>
      </c>
      <c r="C16" s="195">
        <f>VLOOKUP(A16,tDatos[],IF(UTCElegido="",3,12),0)</f>
        <v>46196</v>
      </c>
      <c r="D16" s="197">
        <f>VLOOKUP(A16,tDatos[],IF(UTCElegido="",4,12),0)</f>
        <v>0.66666666666666663</v>
      </c>
      <c r="E16" s="18"/>
      <c r="F16" s="198" t="str">
        <f>VLOOKUP(A16,tDatos[],5,0)</f>
        <v>INGLATERRA</v>
      </c>
      <c r="G16" s="192" t="str">
        <f>IF(AND(I16&lt;&gt;"",K16&lt;&gt;""),IF(I16=K16,"E",IF(I16&gt;K16,"G","P")),"")</f>
        <v>E</v>
      </c>
      <c r="H16" s="20"/>
      <c r="I16" s="280">
        <f>IF(Ingreso!G279="","",Ingreso!G279)</f>
        <v>0</v>
      </c>
      <c r="J16" s="237" t="s">
        <v>0</v>
      </c>
      <c r="K16" s="280">
        <f>IF(Ingreso!J279="","",Ingreso!J279)</f>
        <v>0</v>
      </c>
      <c r="L16" s="192" t="str">
        <f>IF(AND(K16&lt;&gt;"",I16&lt;&gt;""),IF(K16=I16,"E",IF(K16&gt;I16,"G","P")),"")</f>
        <v>E</v>
      </c>
      <c r="M16" s="19"/>
      <c r="N16" s="193" t="str">
        <f>VLOOKUP(A16,tDatos[],6,0)</f>
        <v>GHANA</v>
      </c>
      <c r="O16" s="18"/>
      <c r="P16" s="218" t="str">
        <f>VLOOKUP(A16,tDatos[],9,0)</f>
        <v>Boston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INGLATERRAGHANA</v>
      </c>
      <c r="AS16" s="148" t="str">
        <f>IF(I16&gt;K16,F16,IF(K16&gt;I16,N16,""))</f>
        <v/>
      </c>
      <c r="AT16" s="149">
        <f>I16</f>
        <v>0</v>
      </c>
      <c r="AU16" s="149">
        <f>K16</f>
        <v>0</v>
      </c>
      <c r="AV16" s="149">
        <f>AT16-AU16</f>
        <v>0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GHANAINGLATERRA</v>
      </c>
      <c r="AS17" s="148" t="str">
        <f>IF(I16&gt;K16,F16,IF(K16&gt;I16,N16,""))</f>
        <v/>
      </c>
      <c r="AT17" s="149">
        <f>K16</f>
        <v>0</v>
      </c>
      <c r="AU17" s="149">
        <f>I16</f>
        <v>0</v>
      </c>
      <c r="AV17" s="149">
        <f>AT17-AU17</f>
        <v>0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47</v>
      </c>
      <c r="B20" s="196">
        <v>46</v>
      </c>
      <c r="C20" s="195">
        <f>VLOOKUP(A20,tDatos[],IF(UTCElegido="",3,12),0)</f>
        <v>46196</v>
      </c>
      <c r="D20" s="197">
        <f>VLOOKUP(A20,tDatos[],IF(UTCElegido="",4,12),0)</f>
        <v>0.79166666666666663</v>
      </c>
      <c r="E20" s="18"/>
      <c r="F20" s="198" t="str">
        <f>VLOOKUP(A20,tDatos[],5,0)</f>
        <v>PANAMÁ</v>
      </c>
      <c r="G20" s="192" t="str">
        <f>IF(AND(I20&lt;&gt;"",K20&lt;&gt;""),IF(I20=K20,"E",IF(I20&gt;K20,"G","P")),"")</f>
        <v>P</v>
      </c>
      <c r="H20" s="20"/>
      <c r="I20" s="280">
        <f>IF(Ingreso!G285="","",Ingreso!G285)</f>
        <v>0</v>
      </c>
      <c r="J20" s="237" t="s">
        <v>0</v>
      </c>
      <c r="K20" s="280">
        <f>IF(Ingreso!J285="","",Ingreso!J285)</f>
        <v>1</v>
      </c>
      <c r="L20" s="192" t="str">
        <f>IF(AND(K20&lt;&gt;"",I20&lt;&gt;""),IF(K20=I20,"E",IF(K20&gt;I20,"G","P")),"")</f>
        <v>G</v>
      </c>
      <c r="M20" s="19"/>
      <c r="N20" s="193" t="str">
        <f>VLOOKUP(A20,tDatos[],6,0)</f>
        <v>CROACIA</v>
      </c>
      <c r="O20" s="18"/>
      <c r="P20" s="218" t="str">
        <f>VLOOKUP(A20,tDatos[],9,0)</f>
        <v>Toronto</v>
      </c>
      <c r="R20" s="240" t="str">
        <f>"  3)  " &amp; VLOOKUP(3,$AE$10:$AF$29,2,0)</f>
        <v xml:space="preserve">  3)  GHANA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1</v>
      </c>
      <c r="Y20" s="248">
        <f>VLOOKUP(3,$AE$10:$AJ$29,6,0)</f>
        <v>1</v>
      </c>
      <c r="Z20" s="248">
        <f>VLOOKUP(3,$AE$10:$AK$29,7,0)</f>
        <v>2</v>
      </c>
      <c r="AA20" s="248">
        <f>VLOOKUP(3,$AE$10:$AL$29,8,0)</f>
        <v>2</v>
      </c>
      <c r="AB20" s="247">
        <f>Z20-AA20</f>
        <v>0</v>
      </c>
      <c r="AC20" s="252">
        <f>(W20*3)+X20</f>
        <v>4</v>
      </c>
      <c r="AD20" s="223">
        <f>RANK(AO20,$AO$10:$AO$29,0)</f>
        <v>3</v>
      </c>
      <c r="AE20" s="223">
        <f>RANK(AP20,$AP$10:$AP$29,1)</f>
        <v>3</v>
      </c>
      <c r="AF20" s="223" t="str">
        <f>F12</f>
        <v>GHANA</v>
      </c>
      <c r="AG20" s="249">
        <f>3-COUNTIF(I34:K34,"")</f>
        <v>3</v>
      </c>
      <c r="AH20" s="223">
        <f>COUNTIF(I34:K34,"G")</f>
        <v>1</v>
      </c>
      <c r="AI20" s="223">
        <f>COUNTIF(I34:K34,"E")</f>
        <v>1</v>
      </c>
      <c r="AJ20" s="223">
        <f>COUNTIF(I34:K34,"P")</f>
        <v>1</v>
      </c>
      <c r="AK20" s="249">
        <f>SUM(I12,K16,K28)</f>
        <v>2</v>
      </c>
      <c r="AL20" s="249">
        <f>SUM(K12,I16,I28)</f>
        <v>2</v>
      </c>
      <c r="AM20" s="223">
        <f>AK20-AL20</f>
        <v>0</v>
      </c>
      <c r="AN20" s="223">
        <f>(AH20*3)+AI20*vcp</f>
        <v>4</v>
      </c>
      <c r="AO20" s="223">
        <f>IF($AO$6&gt;0,AN20*10+1)</f>
        <v>41</v>
      </c>
      <c r="AP20" s="223">
        <f>IF(AF20=$R$38,BF20-100,IF(AF20=$R$37,BF20-200,IF(AF20=$R$36,BF20-300,BF20)))</f>
        <v>3</v>
      </c>
      <c r="AQ20" s="223" t="str">
        <f>IF(R38="",IF(SUM($V$10:$V$29)&gt;0,VLOOKUP(3,$AE$10:$AF$29,2,0),""),R38)</f>
        <v>GHANA</v>
      </c>
      <c r="AR20" s="148" t="str">
        <f>F20&amp;N20</f>
        <v>PANAMÁCROACIA</v>
      </c>
      <c r="AS20" s="148" t="str">
        <f>IF(I20&gt;K20,F20,IF(K20&gt;I20,N20,""))</f>
        <v>CROACIA</v>
      </c>
      <c r="AT20" s="149">
        <f>I20</f>
        <v>0</v>
      </c>
      <c r="AU20" s="149">
        <f>K20</f>
        <v>1</v>
      </c>
      <c r="AV20" s="149">
        <f>AT20-AU20</f>
        <v>-1</v>
      </c>
      <c r="AW20" s="225">
        <f>RANK(AY20,$AY$10:$AY$29,0)</f>
        <v>3</v>
      </c>
      <c r="AX20" s="226">
        <f>IF(AND($AO$6&gt;0,$AP$6&gt;0),AN20*10000+AZ20,AO20)</f>
        <v>41</v>
      </c>
      <c r="AY20" s="226">
        <f>IF(AND($AO$6&gt;0,$AP$6&gt;0),AN20*10000+AZ20-2,AO20)</f>
        <v>41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3</v>
      </c>
      <c r="BB20" s="225">
        <f>AX20+BD20</f>
        <v>41</v>
      </c>
      <c r="BC20" s="226">
        <f>AX20+BD20+1</f>
        <v>42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41.01</v>
      </c>
      <c r="BF20" s="225">
        <f>RANK(BE20,$BE$10:$BE$29)</f>
        <v>3</v>
      </c>
      <c r="BG20" s="279">
        <f>BE20-0.01</f>
        <v>41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CROACIAPANAMÁ</v>
      </c>
      <c r="AS21" s="148" t="str">
        <f>IF(I20&gt;K20,F20,IF(K20&gt;I20,N20,""))</f>
        <v>CROACIA</v>
      </c>
      <c r="AT21" s="149">
        <f>K20</f>
        <v>1</v>
      </c>
      <c r="AU21" s="149">
        <f>I20</f>
        <v>0</v>
      </c>
      <c r="AV21" s="149">
        <f>AT21-AU21</f>
        <v>1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67</v>
      </c>
      <c r="B24" s="196">
        <v>67</v>
      </c>
      <c r="C24" s="195">
        <f>VLOOKUP(A24,tDatos[],IF(UTCElegido="",3,12),0)</f>
        <v>46200</v>
      </c>
      <c r="D24" s="197">
        <f>VLOOKUP(A24,tDatos[],IF(UTCElegido="",4,12),0)</f>
        <v>0.70833333333333337</v>
      </c>
      <c r="E24" s="18"/>
      <c r="F24" s="198" t="str">
        <f>VLOOKUP(A24,tDatos[],5,0)</f>
        <v>PANAMÁ</v>
      </c>
      <c r="G24" s="192" t="str">
        <f>IF(AND(I24&lt;&gt;"",K24&lt;&gt;""),IF(I24=K24,"E",IF(I24&gt;K24,"G","P")),"")</f>
        <v>P</v>
      </c>
      <c r="H24" s="20"/>
      <c r="I24" s="280">
        <f>IF(Ingreso!G405="","",Ingreso!G405)</f>
        <v>0</v>
      </c>
      <c r="J24" s="237" t="s">
        <v>0</v>
      </c>
      <c r="K24" s="280">
        <f>IF(Ingreso!J405="","",Ingreso!J405)</f>
        <v>2</v>
      </c>
      <c r="L24" s="192" t="str">
        <f>IF(AND(K24&lt;&gt;"",I24&lt;&gt;""),IF(K24=I24,"E",IF(K24&gt;I24,"G","P")),"")</f>
        <v>G</v>
      </c>
      <c r="M24" s="19"/>
      <c r="N24" s="193" t="str">
        <f>VLOOKUP(A24,tDatos[],6,0)</f>
        <v>INGLATERRA</v>
      </c>
      <c r="O24" s="18"/>
      <c r="P24" s="218" t="str">
        <f>VLOOKUP(A24,tDatos[],9,0)</f>
        <v>N. York/N. Jersey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PANAMÁINGLATERRA</v>
      </c>
      <c r="AS24" s="148" t="str">
        <f>IF(I24&gt;K24,F24,IF(K24&gt;I24,N24,""))</f>
        <v>INGLATERRA</v>
      </c>
      <c r="AT24" s="149">
        <f>I24</f>
        <v>0</v>
      </c>
      <c r="AU24" s="149">
        <f>K24</f>
        <v>2</v>
      </c>
      <c r="AV24" s="149">
        <f>AT24-AU24</f>
        <v>-2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PANAMÁ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0</v>
      </c>
      <c r="Y25" s="248">
        <f>VLOOKUP(4,$AE$10:$AJ$29,6,0)</f>
        <v>3</v>
      </c>
      <c r="Z25" s="248">
        <f>VLOOKUP(4,$AE$10:$AK$29,7,0)</f>
        <v>0</v>
      </c>
      <c r="AA25" s="248">
        <f>VLOOKUP(4,$AE$10:$AL$29,8,0)</f>
        <v>4</v>
      </c>
      <c r="AB25" s="247">
        <f>Z25-AA25</f>
        <v>-4</v>
      </c>
      <c r="AC25" s="252">
        <f>(W25*3)+X25</f>
        <v>0</v>
      </c>
      <c r="AD25" s="223">
        <f>RANK(AO25,$AO$10:$AO$29,0)</f>
        <v>4</v>
      </c>
      <c r="AE25" s="223">
        <f>RANK(AP25,$AP$10:$AP$29,1)</f>
        <v>4</v>
      </c>
      <c r="AF25" s="223" t="str">
        <f>N12</f>
        <v>PANAMÁ</v>
      </c>
      <c r="AG25" s="249">
        <f>3-COUNTIF(I35:K35,"")</f>
        <v>3</v>
      </c>
      <c r="AH25" s="223">
        <f>COUNTIF(I35:K35,"G")</f>
        <v>0</v>
      </c>
      <c r="AI25" s="223">
        <f>COUNTIF(I35:K35,"E")</f>
        <v>0</v>
      </c>
      <c r="AJ25" s="223">
        <f>COUNTIF(I35:K35,"P")</f>
        <v>3</v>
      </c>
      <c r="AK25" s="249">
        <f>SUM(K12,I20,I24)</f>
        <v>0</v>
      </c>
      <c r="AL25" s="249">
        <f>SUM(I12,K20,K24)</f>
        <v>4</v>
      </c>
      <c r="AM25" s="223">
        <f>AK25-AL25</f>
        <v>-4</v>
      </c>
      <c r="AN25" s="223">
        <f>(AH25*3)+AI25*vcp</f>
        <v>0</v>
      </c>
      <c r="AO25" s="223">
        <f>IF($AO$6&gt;0,AN25*10)</f>
        <v>0</v>
      </c>
      <c r="AP25" s="223">
        <f>IF(AF25=$R$38,BF25-100,IF(AF25=$R$37,BF25-200,IF(AF25=$R$36,BF25-300,BF25)))</f>
        <v>4</v>
      </c>
      <c r="AQ25" s="223" t="str">
        <f>IF(SUM($V$10:$V$29)&gt;0,VLOOKUP(4,$AE$10:$AF$29,2,0),"")</f>
        <v>PANAMÁ</v>
      </c>
      <c r="AR25" s="148" t="str">
        <f>N24&amp;F24</f>
        <v>INGLATERRAPANAMÁ</v>
      </c>
      <c r="AS25" s="148" t="str">
        <f>IF(I24&gt;K24,F24,IF(K24&gt;I24,N24,""))</f>
        <v>INGLATERRA</v>
      </c>
      <c r="AT25" s="149">
        <f>K24</f>
        <v>2</v>
      </c>
      <c r="AU25" s="149">
        <f>I24</f>
        <v>0</v>
      </c>
      <c r="AV25" s="149">
        <f>AT25-AU25</f>
        <v>2</v>
      </c>
      <c r="AW25" s="225">
        <f>RANK(AY25,$AY$10:$AY$29,0)</f>
        <v>4</v>
      </c>
      <c r="AX25" s="226">
        <f>IF(AND($AO$6&gt;0,$AP$6&gt;0),AN25*10000+AZ25,AO25)</f>
        <v>0</v>
      </c>
      <c r="AY25" s="226">
        <f>IF(AND($AO$6&gt;0,$AP$6&gt;0),AN25*10000+AZ25-3,AO25)</f>
        <v>0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4</v>
      </c>
      <c r="BB25" s="225">
        <f>AX25+BD25</f>
        <v>0</v>
      </c>
      <c r="BC25" s="226">
        <f>AX25+BD25</f>
        <v>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0</v>
      </c>
      <c r="BF25" s="225">
        <f>RANK(BE25,$BE$10:$BE$29)</f>
        <v>4</v>
      </c>
      <c r="BG25" s="279">
        <f>BE25</f>
        <v>0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68</v>
      </c>
      <c r="B28" s="196">
        <v>68</v>
      </c>
      <c r="C28" s="195">
        <f>VLOOKUP(A28,tDatos[],IF(UTCElegido="",3,12),0)</f>
        <v>46200</v>
      </c>
      <c r="D28" s="197">
        <f>VLOOKUP(A28,tDatos[],IF(UTCElegido="",4,12),0)</f>
        <v>0.70833333333333337</v>
      </c>
      <c r="E28" s="18"/>
      <c r="F28" s="198" t="str">
        <f>VLOOKUP(A28,tDatos[],5,0)</f>
        <v>CROACIA</v>
      </c>
      <c r="G28" s="192" t="str">
        <f>IF(AND(I28&lt;&gt;"",K28&lt;&gt;""),IF(I28=K28,"E",IF(I28&gt;K28,"G","P")),"")</f>
        <v>G</v>
      </c>
      <c r="H28" s="20"/>
      <c r="I28" s="280">
        <f>IF(Ingreso!G411="","",Ingreso!G411)</f>
        <v>2</v>
      </c>
      <c r="J28" s="237" t="s">
        <v>0</v>
      </c>
      <c r="K28" s="280">
        <f>IF(Ingreso!J411="","",Ingreso!J411)</f>
        <v>1</v>
      </c>
      <c r="L28" s="192" t="str">
        <f>IF(AND(K28&lt;&gt;"",I28&lt;&gt;""),IF(K28=I28,"E",IF(K28&gt;I28,"G","P")),"")</f>
        <v>P</v>
      </c>
      <c r="M28" s="19"/>
      <c r="N28" s="193" t="str">
        <f>VLOOKUP(A28,tDatos[],6,0)</f>
        <v>GHANA</v>
      </c>
      <c r="O28" s="18"/>
      <c r="P28" s="218" t="str">
        <f>VLOOKUP(A28,tDatos[],9,0)</f>
        <v>Filadelfia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CROACIAGHANA</v>
      </c>
      <c r="AS28" s="148" t="str">
        <f>IF(I28&gt;K28,F28,IF(K28&gt;I28,N28,""))</f>
        <v>CROACIA</v>
      </c>
      <c r="AT28" s="149">
        <f>I28</f>
        <v>2</v>
      </c>
      <c r="AU28" s="149">
        <f>K28</f>
        <v>1</v>
      </c>
      <c r="AV28" s="149">
        <f>AT28-AU28</f>
        <v>1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GHANACROACIA</v>
      </c>
      <c r="AS29" s="148" t="str">
        <f>IF(I28&gt;K28,F28,IF(K28&gt;I28,N28,""))</f>
        <v>CROACIA</v>
      </c>
      <c r="AT29" s="149">
        <f>K28</f>
        <v>1</v>
      </c>
      <c r="AU29" s="149">
        <f>I28</f>
        <v>2</v>
      </c>
      <c r="AV29" s="149">
        <f>AT29-AU29</f>
        <v>-1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INGLATERRA</v>
      </c>
      <c r="I32" t="str">
        <f>G8</f>
        <v>G</v>
      </c>
      <c r="J32" t="str">
        <f>G16</f>
        <v>E</v>
      </c>
      <c r="K32" t="str">
        <f>L24</f>
        <v>G</v>
      </c>
    </row>
    <row r="33" spans="6:21" hidden="1" x14ac:dyDescent="0.25">
      <c r="F33" t="str">
        <f>N8</f>
        <v>CROACIA</v>
      </c>
      <c r="I33" t="str">
        <f>L8</f>
        <v>P</v>
      </c>
      <c r="J33" t="str">
        <f>L20</f>
        <v>G</v>
      </c>
      <c r="K33" t="str">
        <f>G28</f>
        <v>G</v>
      </c>
    </row>
    <row r="34" spans="6:21" hidden="1" x14ac:dyDescent="0.25">
      <c r="F34" t="str">
        <f>F12</f>
        <v>GHANA</v>
      </c>
      <c r="I34" t="str">
        <f>G12</f>
        <v>G</v>
      </c>
      <c r="J34" t="str">
        <f>L16</f>
        <v>E</v>
      </c>
      <c r="K34" t="str">
        <f>L28</f>
        <v>P</v>
      </c>
    </row>
    <row r="35" spans="6:21" hidden="1" x14ac:dyDescent="0.25">
      <c r="F35" t="str">
        <f>N12</f>
        <v>PANAMÁ</v>
      </c>
      <c r="I35" t="str">
        <f>L12</f>
        <v>P</v>
      </c>
      <c r="J35" t="str">
        <f>G20</f>
        <v>P</v>
      </c>
      <c r="K35" t="str">
        <f>G24</f>
        <v>P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conditionalFormatting sqref="R36:U38">
    <cfRule type="expression" dxfId="49" priority="37">
      <formula>$AN$8=0</formula>
    </cfRule>
  </conditionalFormatting>
  <dataValidations count="1">
    <dataValidation type="list" allowBlank="1" showInputMessage="1" showErrorMessage="1" errorTitle="El nombre no es válido" error="Debes escoger uno de los nombres de la lista." sqref="R36:U38" xr:uid="{33A28E0A-3692-49ED-AA12-8E3B0FDCA0DF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AL70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0.7109375" customWidth="1"/>
    <col min="7" max="7" width="2.14062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2.28515625" hidden="1" customWidth="1"/>
    <col min="13" max="13" width="0.85546875" customWidth="1"/>
    <col min="14" max="14" width="20.7109375" customWidth="1"/>
    <col min="15" max="15" width="0.85546875" customWidth="1"/>
    <col min="16" max="16" width="14.7109375" customWidth="1"/>
    <col min="17" max="17" width="0.85546875" customWidth="1"/>
    <col min="18" max="18" width="19.5703125" bestFit="1" customWidth="1"/>
    <col min="19" max="19" width="6.7109375" customWidth="1"/>
    <col min="20" max="20" width="5.7109375" customWidth="1"/>
    <col min="21" max="21" width="19.140625" customWidth="1"/>
    <col min="22" max="24" width="5.7109375" customWidth="1"/>
    <col min="25" max="25" width="2.28515625" hidden="1" customWidth="1"/>
    <col min="26" max="26" width="5.7109375" hidden="1" customWidth="1"/>
    <col min="27" max="27" width="16.7109375" hidden="1" customWidth="1"/>
    <col min="28" max="28" width="3.85546875" hidden="1" customWidth="1"/>
    <col min="29" max="29" width="3.28515625" hidden="1" customWidth="1"/>
    <col min="30" max="30" width="3" hidden="1" customWidth="1"/>
    <col min="31" max="31" width="5.5703125" hidden="1" customWidth="1"/>
    <col min="32" max="33" width="2.28515625" hidden="1" customWidth="1"/>
    <col min="34" max="34" width="1.7109375" hidden="1" customWidth="1"/>
    <col min="35" max="35" width="5.7109375" customWidth="1"/>
    <col min="36" max="36" width="16.7109375" customWidth="1"/>
    <col min="37" max="37" width="3.5703125" customWidth="1"/>
    <col min="38" max="38" width="6.5703125" hidden="1" customWidth="1"/>
  </cols>
  <sheetData>
    <row r="1" spans="1:38" ht="25.5" customHeight="1" x14ac:dyDescent="0.25"/>
    <row r="2" spans="1:38" ht="35.25" customHeight="1" x14ac:dyDescent="0.25"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2"/>
      <c r="P2" s="10"/>
      <c r="Q2" s="10"/>
      <c r="T2" s="309" t="s">
        <v>947</v>
      </c>
      <c r="U2" s="309"/>
      <c r="V2" s="309"/>
      <c r="W2" s="309"/>
      <c r="X2" s="309"/>
    </row>
    <row r="3" spans="1:38" ht="15" customHeight="1" x14ac:dyDescent="0.25">
      <c r="T3" s="309"/>
      <c r="U3" s="309"/>
      <c r="V3" s="309"/>
      <c r="W3" s="309"/>
      <c r="X3" s="309"/>
    </row>
    <row r="4" spans="1:38" ht="15" customHeight="1" x14ac:dyDescent="0.25">
      <c r="T4" s="310" t="s">
        <v>948</v>
      </c>
      <c r="U4" s="310"/>
      <c r="V4" s="310"/>
      <c r="W4" s="310"/>
      <c r="X4" s="310"/>
    </row>
    <row r="5" spans="1:38" ht="18" customHeight="1" thickBot="1" x14ac:dyDescent="0.3">
      <c r="B5" s="28" t="s">
        <v>61</v>
      </c>
      <c r="T5" s="310"/>
      <c r="U5" s="310"/>
      <c r="V5" s="310"/>
      <c r="W5" s="310"/>
      <c r="X5" s="310"/>
    </row>
    <row r="6" spans="1:38" ht="18" customHeight="1" thickBo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R6" s="50" t="s">
        <v>36</v>
      </c>
      <c r="T6" s="285" t="s">
        <v>943</v>
      </c>
      <c r="U6" s="286"/>
      <c r="V6" s="286"/>
      <c r="W6" s="286"/>
      <c r="X6" s="286"/>
      <c r="AL6" t="b">
        <f>COUNTIF(AI11:AI68,"! ")&gt;0</f>
        <v>1</v>
      </c>
    </row>
    <row r="7" spans="1:38" ht="3.95" customHeight="1" thickBot="1" x14ac:dyDescent="0.3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</row>
    <row r="8" spans="1:38" ht="7.5" customHeight="1" x14ac:dyDescent="0.25">
      <c r="A8" s="229">
        <v>73</v>
      </c>
      <c r="B8" s="194">
        <v>73</v>
      </c>
      <c r="C8" s="195">
        <f>VLOOKUP(A8,tDatos[],IF(UTCElegido="",3,12),0)</f>
        <v>46201</v>
      </c>
      <c r="D8" s="197">
        <f>VLOOKUP(A8,tDatos[],IF(UTCElegido="",4,12),0)</f>
        <v>0.625</v>
      </c>
      <c r="E8" s="27" t="str">
        <f>IF(F8="","vacía",SUBSTITUTE(F8," ","_"))</f>
        <v>SUDÁFRICA</v>
      </c>
      <c r="F8" s="198" t="str">
        <f>IF($AL$8=144,VLOOKUP(A8,tDatos[],5,0),"")</f>
        <v>SUDÁFRICA</v>
      </c>
      <c r="G8" s="192" t="str">
        <f>IF(AND(I8&lt;&gt;"",K8&lt;&gt;""),IF(I8=K8,"E",IF(I8&gt;K8,"G","P")),"")</f>
        <v>P</v>
      </c>
      <c r="H8" s="20"/>
      <c r="I8" s="190">
        <v>0</v>
      </c>
      <c r="J8" s="192" t="s">
        <v>0</v>
      </c>
      <c r="K8" s="190">
        <v>1</v>
      </c>
      <c r="L8" s="192" t="str">
        <f>IF(AND(K8&lt;&gt;"",I8&lt;&gt;""),IF(K8=I8,"E",IF(K8&gt;I8,"G","P")),"")</f>
        <v>G</v>
      </c>
      <c r="M8" s="19"/>
      <c r="N8" s="193" t="str">
        <f>IF($AL$8=144,VLOOKUP(A8,tDatos[],6,0),"")</f>
        <v>CANADÁ</v>
      </c>
      <c r="O8" s="27" t="str">
        <f>IF(N8="","vacía",SUBSTITUTE(N8," ","_"))</f>
        <v>CANADÁ</v>
      </c>
      <c r="P8" s="218" t="str">
        <f>VLOOKUP(A8,tDatos[],9,0)</f>
        <v>Los Angeles</v>
      </c>
      <c r="R8" s="304" t="str">
        <f>IF(G8="","",IF(G8="E","Suma los penales",IF(G8="G",F8,N8)))</f>
        <v>CANADÁ</v>
      </c>
      <c r="T8" s="264" t="s">
        <v>942</v>
      </c>
      <c r="U8" s="259" t="s">
        <v>425</v>
      </c>
      <c r="V8" s="259" t="s">
        <v>270</v>
      </c>
      <c r="W8" s="264" t="s">
        <v>271</v>
      </c>
      <c r="X8" s="264" t="s">
        <v>7</v>
      </c>
      <c r="Y8" s="264"/>
      <c r="Z8" s="264" t="s">
        <v>941</v>
      </c>
      <c r="AA8" s="287" t="s">
        <v>425</v>
      </c>
      <c r="AB8" s="287" t="s">
        <v>3</v>
      </c>
      <c r="AC8" s="287" t="s">
        <v>271</v>
      </c>
      <c r="AD8" s="287" t="s">
        <v>7</v>
      </c>
      <c r="AE8" s="287"/>
      <c r="AF8" s="263"/>
      <c r="AG8" s="12"/>
      <c r="AJ8" s="282" t="s">
        <v>946</v>
      </c>
      <c r="AL8" s="263">
        <f>A!AO6+B!AO6+'C'!AO6+D!AO6+E!AO6+F!AO6+G!AO6+H!AO6+I!AO6+J!AO6+K!AO6+L!AO6</f>
        <v>144</v>
      </c>
    </row>
    <row r="9" spans="1:38" ht="7.5" customHeight="1" thickBot="1" x14ac:dyDescent="0.3">
      <c r="A9" s="229"/>
      <c r="B9" s="194"/>
      <c r="C9" s="196"/>
      <c r="D9" s="196"/>
      <c r="E9" s="18"/>
      <c r="F9" s="198"/>
      <c r="G9" s="192"/>
      <c r="H9" s="20"/>
      <c r="I9" s="191"/>
      <c r="J9" s="192"/>
      <c r="K9" s="191"/>
      <c r="L9" s="192"/>
      <c r="M9" s="19"/>
      <c r="N9" s="193"/>
      <c r="O9" s="18"/>
      <c r="P9" s="218"/>
      <c r="R9" s="305"/>
      <c r="T9" s="300"/>
      <c r="U9" s="278"/>
      <c r="V9" s="278"/>
      <c r="W9" s="300"/>
      <c r="X9" s="300"/>
      <c r="Y9" s="264"/>
      <c r="Z9" s="264"/>
      <c r="AA9" s="287"/>
      <c r="AB9" s="287"/>
      <c r="AC9" s="287"/>
      <c r="AD9" s="287"/>
      <c r="AE9" s="287"/>
      <c r="AF9" s="263"/>
      <c r="AG9" s="12"/>
      <c r="AJ9" s="282"/>
      <c r="AL9" s="263"/>
    </row>
    <row r="10" spans="1:38" ht="7.5" customHeight="1" x14ac:dyDescent="0.25">
      <c r="A10" s="314"/>
      <c r="B10" s="302"/>
      <c r="C10" s="301"/>
      <c r="D10" s="303"/>
      <c r="E10" s="18"/>
      <c r="F10" s="232"/>
      <c r="G10" s="18"/>
      <c r="H10" s="18"/>
      <c r="I10" s="192"/>
      <c r="J10" s="192"/>
      <c r="K10" s="192"/>
      <c r="L10" s="18"/>
      <c r="M10" s="18"/>
      <c r="N10" s="193"/>
      <c r="O10" s="18"/>
      <c r="P10" s="236"/>
      <c r="R10" s="306"/>
      <c r="T10" s="294">
        <v>1</v>
      </c>
      <c r="U10" s="297" t="str">
        <f>VLOOKUP(T10,$Z$10:$AA$69,2,0)</f>
        <v>REP. del CONGO</v>
      </c>
      <c r="V10" s="297">
        <f>VLOOKUP(T10,$Z$10:$AB$69,3,0)</f>
        <v>4</v>
      </c>
      <c r="W10" s="294">
        <f>VLOOKUP(T10,$Z$10:$AC$69,4,0)</f>
        <v>1</v>
      </c>
      <c r="X10" s="294">
        <f>VLOOKUP(T10,$Z$10:$AD$69,5,0)</f>
        <v>4</v>
      </c>
      <c r="Y10" s="284" t="str">
        <f>VLOOKUP(T10,$Z$10:$AF$69,7,0)</f>
        <v>K</v>
      </c>
      <c r="Z10" s="284">
        <f>RANK(AE10,$AE$10:$AE$69)</f>
        <v>10</v>
      </c>
      <c r="AA10" s="284" t="str">
        <f>IF($AL$8=144,TerceroA,"")</f>
        <v>COREA del SUR</v>
      </c>
      <c r="AB10" s="284">
        <f>A!$AC$20</f>
        <v>3</v>
      </c>
      <c r="AC10" s="284">
        <f>A!$AB$20</f>
        <v>-1</v>
      </c>
      <c r="AD10" s="284">
        <f>A!$Z$20</f>
        <v>2</v>
      </c>
      <c r="AE10" s="284">
        <f>AB10*10000+AC10*1000+AD10*100+11+_xlfn.IFNA(VLOOKUP(AA10,$AJ$11:$AL$68,3,0)-11,0)</f>
        <v>29211</v>
      </c>
      <c r="AF10" s="284" t="s">
        <v>426</v>
      </c>
      <c r="AG10" s="284">
        <f>V10*100+W10*10+X10</f>
        <v>414</v>
      </c>
    </row>
    <row r="11" spans="1:38" ht="7.5" customHeight="1" thickBot="1" x14ac:dyDescent="0.3">
      <c r="A11" s="314"/>
      <c r="B11" s="302"/>
      <c r="C11" s="301"/>
      <c r="D11" s="303"/>
      <c r="E11" s="18"/>
      <c r="F11" s="232"/>
      <c r="G11" s="18"/>
      <c r="H11" s="18"/>
      <c r="I11" s="192"/>
      <c r="J11" s="192"/>
      <c r="K11" s="192"/>
      <c r="L11" s="18"/>
      <c r="M11" s="18"/>
      <c r="N11" s="193"/>
      <c r="O11" s="18"/>
      <c r="P11" s="236"/>
      <c r="R11" s="306"/>
      <c r="T11" s="295"/>
      <c r="U11" s="298"/>
      <c r="V11" s="298"/>
      <c r="W11" s="295"/>
      <c r="X11" s="295"/>
      <c r="Y11" s="284"/>
      <c r="Z11" s="284"/>
      <c r="AA11" s="284"/>
      <c r="AB11" s="284"/>
      <c r="AC11" s="284"/>
      <c r="AD11" s="284"/>
      <c r="AE11" s="284"/>
      <c r="AF11" s="284"/>
      <c r="AG11" s="284"/>
      <c r="AI11" s="283" t="str">
        <f>IF(AND($AL$8=144,COUNTIF($AG$10:$AG$69,AG10)&gt;1),"! ","")</f>
        <v/>
      </c>
      <c r="AJ11" s="311"/>
      <c r="AL11" s="263">
        <v>1.2</v>
      </c>
    </row>
    <row r="12" spans="1:38" ht="7.5" customHeight="1" x14ac:dyDescent="0.25">
      <c r="A12" s="229">
        <v>74</v>
      </c>
      <c r="B12" s="194">
        <v>76</v>
      </c>
      <c r="C12" s="195">
        <f>VLOOKUP(A12,tDatos[],IF(UTCElegido="",3,12),0)</f>
        <v>46202</v>
      </c>
      <c r="D12" s="197">
        <f>VLOOKUP(A12,tDatos[],IF(UTCElegido="",4,12),0)</f>
        <v>0.54166666666424135</v>
      </c>
      <c r="E12" s="27" t="str">
        <f>IF(F12="","vacía",SUBSTITUTE(F12," ","_"))</f>
        <v>BRASIL</v>
      </c>
      <c r="F12" s="198" t="str">
        <f>IF($AL$8=144,VLOOKUP(A12,tDatos[],5,0),"")</f>
        <v>BRASIL</v>
      </c>
      <c r="G12" s="192" t="str">
        <f>IF(AND(I12&lt;&gt;"",K12&lt;&gt;""),IF(I12=K12,"E",IF(I12&gt;K12,"G","P")),"")</f>
        <v>G</v>
      </c>
      <c r="H12" s="20"/>
      <c r="I12" s="190">
        <v>2</v>
      </c>
      <c r="J12" s="192" t="s">
        <v>0</v>
      </c>
      <c r="K12" s="190">
        <v>1</v>
      </c>
      <c r="L12" s="192" t="str">
        <f>IF(AND(K12&lt;&gt;"",I12&lt;&gt;""),IF(K12=I12,"E",IF(K12&gt;I12,"G","P")),"")</f>
        <v>P</v>
      </c>
      <c r="M12" s="19"/>
      <c r="N12" s="193" t="str">
        <f>IF($AL$8=144,VLOOKUP(A12,tDatos[],6,0),"")</f>
        <v>JAPÓN</v>
      </c>
      <c r="O12" s="27" t="str">
        <f>IF(N12="","vacía",SUBSTITUTE(N12," ","_"))</f>
        <v>JAPÓN</v>
      </c>
      <c r="P12" s="218" t="str">
        <f>VLOOKUP(A12,tDatos[],9,0)</f>
        <v>Houston</v>
      </c>
      <c r="R12" s="304" t="str">
        <f>IF(G12="","",IF(G12="E","Suma los penales",IF(G12="G",F12,N12)))</f>
        <v>BRASIL</v>
      </c>
      <c r="T12" s="295"/>
      <c r="U12" s="298"/>
      <c r="V12" s="298"/>
      <c r="W12" s="295"/>
      <c r="X12" s="295"/>
      <c r="Y12" s="284"/>
      <c r="Z12" s="284"/>
      <c r="AA12" s="284"/>
      <c r="AB12" s="284"/>
      <c r="AC12" s="284"/>
      <c r="AD12" s="284"/>
      <c r="AE12" s="284"/>
      <c r="AF12" s="284"/>
      <c r="AG12" s="284"/>
      <c r="AI12" s="283"/>
      <c r="AJ12" s="312"/>
      <c r="AL12" s="263"/>
    </row>
    <row r="13" spans="1:38" ht="7.5" customHeight="1" thickBot="1" x14ac:dyDescent="0.3">
      <c r="A13" s="229"/>
      <c r="B13" s="194"/>
      <c r="C13" s="196"/>
      <c r="D13" s="196"/>
      <c r="E13" s="18"/>
      <c r="F13" s="198"/>
      <c r="G13" s="192"/>
      <c r="H13" s="20"/>
      <c r="I13" s="191"/>
      <c r="J13" s="192"/>
      <c r="K13" s="191"/>
      <c r="L13" s="192"/>
      <c r="M13" s="19"/>
      <c r="N13" s="193"/>
      <c r="O13" s="18"/>
      <c r="P13" s="218"/>
      <c r="R13" s="305"/>
      <c r="T13" s="295"/>
      <c r="U13" s="298"/>
      <c r="V13" s="298"/>
      <c r="W13" s="295"/>
      <c r="X13" s="295"/>
      <c r="Y13" s="284"/>
      <c r="Z13" s="284"/>
      <c r="AA13" s="284"/>
      <c r="AB13" s="284"/>
      <c r="AC13" s="284"/>
      <c r="AD13" s="284"/>
      <c r="AE13" s="284"/>
      <c r="AF13" s="284"/>
      <c r="AG13" s="284"/>
      <c r="AI13" s="283"/>
      <c r="AJ13" s="313"/>
      <c r="AL13" s="263"/>
    </row>
    <row r="14" spans="1:38" ht="7.5" customHeight="1" x14ac:dyDescent="0.25">
      <c r="A14" s="314"/>
      <c r="B14" s="302"/>
      <c r="C14" s="301"/>
      <c r="D14" s="303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306"/>
      <c r="T14" s="296"/>
      <c r="U14" s="299"/>
      <c r="V14" s="299"/>
      <c r="W14" s="296"/>
      <c r="X14" s="296"/>
      <c r="Y14" s="284"/>
      <c r="Z14" s="284"/>
      <c r="AA14" s="284"/>
      <c r="AB14" s="284"/>
      <c r="AC14" s="284"/>
      <c r="AD14" s="284"/>
      <c r="AE14" s="284"/>
      <c r="AF14" s="284"/>
      <c r="AG14" s="284"/>
    </row>
    <row r="15" spans="1:38" ht="7.5" customHeight="1" thickBot="1" x14ac:dyDescent="0.3">
      <c r="A15" s="314"/>
      <c r="B15" s="302"/>
      <c r="C15" s="301"/>
      <c r="D15" s="303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306"/>
      <c r="T15" s="294">
        <v>2</v>
      </c>
      <c r="U15" s="297" t="str">
        <f>VLOOKUP(T15,$Z$10:$AA$69,2,0)</f>
        <v>SUECIA</v>
      </c>
      <c r="V15" s="297">
        <f>VLOOKUP(T15,$Z$10:$AB$69,3,0)</f>
        <v>4</v>
      </c>
      <c r="W15" s="294">
        <f>VLOOKUP(T15,$Z$10:$AC$69,4,0)</f>
        <v>0</v>
      </c>
      <c r="X15" s="294">
        <f>VLOOKUP(T15,$Z$10:$AD$69,5,0)</f>
        <v>7</v>
      </c>
      <c r="Y15" s="284" t="str">
        <f>VLOOKUP(T15,$Z$10:$AF$69,7,0)</f>
        <v>F</v>
      </c>
      <c r="Z15" s="284">
        <f>RANK(AE15,$AE$10:$AE$69)</f>
        <v>5</v>
      </c>
      <c r="AA15" s="284" t="str">
        <f>IF($AL$8=144,TerceroB,"")</f>
        <v>BOSNIA y HERZEG.</v>
      </c>
      <c r="AB15" s="284">
        <f>B!$AC$20</f>
        <v>4</v>
      </c>
      <c r="AC15" s="284">
        <f>B!$AB$20</f>
        <v>-1</v>
      </c>
      <c r="AD15" s="284">
        <f>B!$Z$20</f>
        <v>5</v>
      </c>
      <c r="AE15" s="284">
        <f>AB15*10000+AC15*1000+AD15*100+10+_xlfn.IFNA(VLOOKUP(AA15,$AJ$11:$AL$68,3,0)-10,0)</f>
        <v>39510</v>
      </c>
      <c r="AF15" s="284" t="s">
        <v>427</v>
      </c>
      <c r="AG15" s="284">
        <f>V15*100+W15*10+X15</f>
        <v>407</v>
      </c>
    </row>
    <row r="16" spans="1:38" ht="7.5" customHeight="1" x14ac:dyDescent="0.25">
      <c r="A16" s="229">
        <v>75</v>
      </c>
      <c r="B16" s="194">
        <v>74</v>
      </c>
      <c r="C16" s="195">
        <f>VLOOKUP(A16,tDatos[],IF(UTCElegido="",3,12),0)</f>
        <v>46202</v>
      </c>
      <c r="D16" s="197">
        <f>VLOOKUP(A16,tDatos[],IF(UTCElegido="",4,12),0)</f>
        <v>0.6875</v>
      </c>
      <c r="E16" s="27" t="str">
        <f>IF(F16="","vacía",SUBSTITUTE(F16," ","_"))</f>
        <v>ALEMANIA</v>
      </c>
      <c r="F16" s="198" t="str">
        <f>IF($AL$8=144,VLOOKUP(A16,tDatos[],5,0),"")</f>
        <v>ALEMANIA</v>
      </c>
      <c r="G16" s="192" t="str">
        <f>IF(AND(I16&lt;&gt;"",K16&lt;&gt;""),IF(I16=K16,"E",IF(I16&gt;K16,"G","P")),"")</f>
        <v>P</v>
      </c>
      <c r="H16" s="20"/>
      <c r="I16" s="190">
        <v>4</v>
      </c>
      <c r="J16" s="192" t="s">
        <v>0</v>
      </c>
      <c r="K16" s="190">
        <v>5</v>
      </c>
      <c r="L16" s="192" t="str">
        <f>IF(AND(K16&lt;&gt;"",I16&lt;&gt;""),IF(K16=I16,"E",IF(K16&gt;I16,"G","P")),"")</f>
        <v>G</v>
      </c>
      <c r="M16" s="19"/>
      <c r="N16" s="193" t="str">
        <f>IF($AL$8=144,VLOOKUP(A16,tDatos[],6,0),"")</f>
        <v>PARAGUAY</v>
      </c>
      <c r="O16" s="27" t="str">
        <f>IF(N16="","vacía",SUBSTITUTE(N16," ","_"))</f>
        <v>PARAGUAY</v>
      </c>
      <c r="P16" s="218" t="str">
        <f>VLOOKUP(A16,tDatos[],9,0)</f>
        <v>Boston</v>
      </c>
      <c r="R16" s="304" t="str">
        <f>IF(G16="","",IF(G16="E","Suma los penales",IF(G16="G",F16,N16)))</f>
        <v>PARAGUAY</v>
      </c>
      <c r="T16" s="295"/>
      <c r="U16" s="298"/>
      <c r="V16" s="298"/>
      <c r="W16" s="295"/>
      <c r="X16" s="295"/>
      <c r="Y16" s="284"/>
      <c r="Z16" s="284"/>
      <c r="AA16" s="284"/>
      <c r="AB16" s="284"/>
      <c r="AC16" s="284"/>
      <c r="AD16" s="284"/>
      <c r="AE16" s="284"/>
      <c r="AF16" s="284"/>
      <c r="AG16" s="284"/>
      <c r="AI16" s="283" t="str">
        <f>IF(AND($AL$8=144,COUNTIF($AG$10:$AG$69,AG15)&gt;1),"! ","")</f>
        <v/>
      </c>
      <c r="AJ16" s="311"/>
      <c r="AL16" s="263">
        <v>1.1000000000000001</v>
      </c>
    </row>
    <row r="17" spans="1:38" ht="7.5" customHeight="1" thickBot="1" x14ac:dyDescent="0.3">
      <c r="A17" s="229"/>
      <c r="B17" s="194"/>
      <c r="C17" s="196"/>
      <c r="D17" s="196"/>
      <c r="E17" s="18"/>
      <c r="F17" s="198"/>
      <c r="G17" s="192"/>
      <c r="H17" s="20"/>
      <c r="I17" s="191"/>
      <c r="J17" s="192"/>
      <c r="K17" s="191"/>
      <c r="L17" s="192"/>
      <c r="M17" s="19"/>
      <c r="N17" s="193"/>
      <c r="O17" s="18"/>
      <c r="P17" s="218"/>
      <c r="R17" s="305"/>
      <c r="T17" s="295"/>
      <c r="U17" s="298"/>
      <c r="V17" s="298"/>
      <c r="W17" s="295"/>
      <c r="X17" s="295"/>
      <c r="Y17" s="284"/>
      <c r="Z17" s="284"/>
      <c r="AA17" s="284"/>
      <c r="AB17" s="284"/>
      <c r="AC17" s="284"/>
      <c r="AD17" s="284"/>
      <c r="AE17" s="284"/>
      <c r="AF17" s="284"/>
      <c r="AG17" s="284"/>
      <c r="AI17" s="283"/>
      <c r="AJ17" s="312"/>
      <c r="AL17" s="263"/>
    </row>
    <row r="18" spans="1:38" ht="7.5" customHeight="1" x14ac:dyDescent="0.25">
      <c r="A18" s="185"/>
      <c r="B18" s="17"/>
      <c r="C18" s="301"/>
      <c r="D18" s="303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306"/>
      <c r="T18" s="295"/>
      <c r="U18" s="298"/>
      <c r="V18" s="298"/>
      <c r="W18" s="295"/>
      <c r="X18" s="295"/>
      <c r="Y18" s="284"/>
      <c r="Z18" s="284"/>
      <c r="AA18" s="284"/>
      <c r="AB18" s="284"/>
      <c r="AC18" s="284"/>
      <c r="AD18" s="284"/>
      <c r="AE18" s="284"/>
      <c r="AF18" s="284"/>
      <c r="AG18" s="284"/>
      <c r="AI18" s="283"/>
      <c r="AJ18" s="313"/>
      <c r="AL18" s="263"/>
    </row>
    <row r="19" spans="1:38" ht="7.5" customHeight="1" thickBot="1" x14ac:dyDescent="0.3">
      <c r="A19" s="185"/>
      <c r="B19" s="17"/>
      <c r="C19" s="301"/>
      <c r="D19" s="303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306"/>
      <c r="T19" s="296"/>
      <c r="U19" s="299"/>
      <c r="V19" s="299"/>
      <c r="W19" s="296"/>
      <c r="X19" s="296"/>
      <c r="Y19" s="284"/>
      <c r="Z19" s="284"/>
      <c r="AA19" s="284"/>
      <c r="AB19" s="284"/>
      <c r="AC19" s="284"/>
      <c r="AD19" s="284"/>
      <c r="AE19" s="284"/>
      <c r="AF19" s="284"/>
      <c r="AG19" s="284"/>
    </row>
    <row r="20" spans="1:38" ht="7.5" customHeight="1" x14ac:dyDescent="0.25">
      <c r="A20" s="229">
        <v>76</v>
      </c>
      <c r="B20" s="194">
        <v>75</v>
      </c>
      <c r="C20" s="195">
        <f>VLOOKUP(A20,tDatos[],IF(UTCElegido="",3,12),0)</f>
        <v>46202</v>
      </c>
      <c r="D20" s="197">
        <f>VLOOKUP(A20,tDatos[],IF(UTCElegido="",4,12),0)</f>
        <v>0.875</v>
      </c>
      <c r="E20" s="27" t="str">
        <f>IF(F20="","vacía",SUBSTITUTE(F20," ","_"))</f>
        <v>PAÍSES_BAJOS</v>
      </c>
      <c r="F20" s="198" t="str">
        <f>IF($AL$8=144,VLOOKUP(A20,tDatos[],5,0),"")</f>
        <v>PAÍSES BAJOS</v>
      </c>
      <c r="G20" s="192" t="str">
        <f>IF(AND(I20&lt;&gt;"",K20&lt;&gt;""),IF(I20=K20,"E",IF(I20&gt;K20,"G","P")),"")</f>
        <v>P</v>
      </c>
      <c r="H20" s="20"/>
      <c r="I20" s="190">
        <v>3</v>
      </c>
      <c r="J20" s="192" t="s">
        <v>0</v>
      </c>
      <c r="K20" s="190">
        <v>4</v>
      </c>
      <c r="L20" s="192" t="str">
        <f>IF(AND(K20&lt;&gt;"",I20&lt;&gt;""),IF(K20=I20,"E",IF(K20&gt;I20,"G","P")),"")</f>
        <v>G</v>
      </c>
      <c r="M20" s="19"/>
      <c r="N20" s="193" t="str">
        <f>IF($AL$8=144,VLOOKUP(A20,tDatos[],6,0),"")</f>
        <v>MARRUECOS</v>
      </c>
      <c r="O20" s="27" t="str">
        <f>IF(N20="","vacía",SUBSTITUTE(N20," ","_"))</f>
        <v>MARRUECOS</v>
      </c>
      <c r="P20" s="218" t="str">
        <f>VLOOKUP(A20,tDatos[],9,0)</f>
        <v>Monterrey</v>
      </c>
      <c r="R20" s="304" t="str">
        <f>IF(G20="","",IF(G20="E","Suma los penales",IF(G20="G",F20,N20)))</f>
        <v>MARRUECOS</v>
      </c>
      <c r="T20" s="294">
        <v>3</v>
      </c>
      <c r="U20" s="297" t="str">
        <f>VLOOKUP(T20,$Z$10:$AA$69,2,0)</f>
        <v>GHANA</v>
      </c>
      <c r="V20" s="297">
        <f>VLOOKUP(T20,$Z$10:$AB$69,3,0)</f>
        <v>4</v>
      </c>
      <c r="W20" s="294">
        <f>VLOOKUP(T20,$Z$10:$AC$69,4,0)</f>
        <v>0</v>
      </c>
      <c r="X20" s="294">
        <f>VLOOKUP(T20,$Z$10:$AD$69,5,0)</f>
        <v>2</v>
      </c>
      <c r="Y20" s="284" t="str">
        <f>VLOOKUP(T20,$Z$10:$AF$69,7,0)</f>
        <v>L</v>
      </c>
      <c r="Z20" s="284">
        <f>RANK(AE20,$AE$10:$AE$69)</f>
        <v>11</v>
      </c>
      <c r="AA20" s="284" t="str">
        <f>IF($AL$8=144,TerceroC,"")</f>
        <v>ESCOCIA</v>
      </c>
      <c r="AB20" s="284">
        <f>'C'!$AC$20</f>
        <v>3</v>
      </c>
      <c r="AC20" s="284">
        <f>'C'!$AB$20</f>
        <v>-3</v>
      </c>
      <c r="AD20" s="284">
        <f>'C'!$Z$20</f>
        <v>1</v>
      </c>
      <c r="AE20" s="284">
        <f>AB20*10000+AC20*1000+AD20*100+9+_xlfn.IFNA(VLOOKUP(AA20,$AJ$11:$AL$68,3,0)-9,0)</f>
        <v>27109</v>
      </c>
      <c r="AF20" s="284" t="s">
        <v>428</v>
      </c>
      <c r="AG20" s="284">
        <f>V20*100+W20*10+X20</f>
        <v>402</v>
      </c>
    </row>
    <row r="21" spans="1:38" ht="7.5" customHeight="1" thickBot="1" x14ac:dyDescent="0.3">
      <c r="A21" s="229"/>
      <c r="B21" s="194"/>
      <c r="C21" s="196"/>
      <c r="D21" s="196"/>
      <c r="E21" s="18"/>
      <c r="F21" s="198"/>
      <c r="G21" s="192"/>
      <c r="H21" s="20"/>
      <c r="I21" s="191"/>
      <c r="J21" s="192"/>
      <c r="K21" s="191"/>
      <c r="L21" s="192"/>
      <c r="M21" s="19"/>
      <c r="N21" s="193"/>
      <c r="O21" s="18"/>
      <c r="P21" s="218"/>
      <c r="R21" s="305"/>
      <c r="T21" s="295"/>
      <c r="U21" s="298"/>
      <c r="V21" s="298"/>
      <c r="W21" s="295"/>
      <c r="X21" s="295"/>
      <c r="Y21" s="284"/>
      <c r="Z21" s="284"/>
      <c r="AA21" s="284"/>
      <c r="AB21" s="284"/>
      <c r="AC21" s="284"/>
      <c r="AD21" s="284"/>
      <c r="AE21" s="284"/>
      <c r="AF21" s="284"/>
      <c r="AG21" s="284"/>
      <c r="AI21" s="283" t="str">
        <f>IF(AND($AL$8=144,COUNTIF($AG$10:$AG$69,AG20)&gt;1),"! ","")</f>
        <v xml:space="preserve">! </v>
      </c>
      <c r="AJ21" s="311" t="s">
        <v>68</v>
      </c>
      <c r="AL21" s="263">
        <v>1</v>
      </c>
    </row>
    <row r="22" spans="1:38" ht="7.5" customHeight="1" x14ac:dyDescent="0.25">
      <c r="A22" s="185"/>
      <c r="B22" s="17"/>
      <c r="C22" s="301"/>
      <c r="D22" s="303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306"/>
      <c r="T22" s="295"/>
      <c r="U22" s="298"/>
      <c r="V22" s="298"/>
      <c r="W22" s="295"/>
      <c r="X22" s="295"/>
      <c r="Y22" s="284"/>
      <c r="Z22" s="284"/>
      <c r="AA22" s="284"/>
      <c r="AB22" s="284"/>
      <c r="AC22" s="284"/>
      <c r="AD22" s="284"/>
      <c r="AE22" s="284"/>
      <c r="AF22" s="284"/>
      <c r="AG22" s="284"/>
      <c r="AI22" s="283"/>
      <c r="AJ22" s="312"/>
      <c r="AL22" s="263"/>
    </row>
    <row r="23" spans="1:38" ht="7.5" customHeight="1" thickBot="1" x14ac:dyDescent="0.3">
      <c r="A23" s="185"/>
      <c r="B23" s="17"/>
      <c r="C23" s="301"/>
      <c r="D23" s="303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306"/>
      <c r="T23" s="295"/>
      <c r="U23" s="298"/>
      <c r="V23" s="298"/>
      <c r="W23" s="295"/>
      <c r="X23" s="295"/>
      <c r="Y23" s="284"/>
      <c r="Z23" s="284"/>
      <c r="AA23" s="284"/>
      <c r="AB23" s="284"/>
      <c r="AC23" s="284"/>
      <c r="AD23" s="284"/>
      <c r="AE23" s="284"/>
      <c r="AF23" s="284"/>
      <c r="AG23" s="284"/>
      <c r="AI23" s="283"/>
      <c r="AJ23" s="313"/>
      <c r="AL23" s="263"/>
    </row>
    <row r="24" spans="1:38" ht="7.5" customHeight="1" x14ac:dyDescent="0.25">
      <c r="A24" s="229">
        <v>77</v>
      </c>
      <c r="B24" s="194">
        <v>78</v>
      </c>
      <c r="C24" s="195">
        <f>VLOOKUP(A24,tDatos[],IF(UTCElegido="",3,12),0)</f>
        <v>46203</v>
      </c>
      <c r="D24" s="197">
        <f>VLOOKUP(A24,tDatos[],IF(UTCElegido="",4,12),0)</f>
        <v>0.54166666666424135</v>
      </c>
      <c r="E24" s="27" t="str">
        <f>IF(F24="","vacía",SUBSTITUTE(F24," ","_"))</f>
        <v>COSTA_de_MARFIL</v>
      </c>
      <c r="F24" s="198" t="str">
        <f>IF($AL$8=144,VLOOKUP(A24,tDatos[],5,0),"")</f>
        <v>COSTA de MARFIL</v>
      </c>
      <c r="G24" s="192" t="str">
        <f>IF(AND(I24&lt;&gt;"",K24&lt;&gt;""),IF(I24=K24,"E",IF(I24&gt;K24,"G","P")),"")</f>
        <v>P</v>
      </c>
      <c r="H24" s="20"/>
      <c r="I24" s="190">
        <v>1</v>
      </c>
      <c r="J24" s="192" t="s">
        <v>0</v>
      </c>
      <c r="K24" s="190">
        <v>2</v>
      </c>
      <c r="L24" s="192" t="str">
        <f>IF(AND(K24&lt;&gt;"",I24&lt;&gt;""),IF(K24=I24,"E",IF(K24&gt;I24,"G","P")),"")</f>
        <v>G</v>
      </c>
      <c r="M24" s="19"/>
      <c r="N24" s="193" t="str">
        <f>IF($AL$8=144,VLOOKUP(A24,tDatos[],6,0),"")</f>
        <v>NORUEGA</v>
      </c>
      <c r="O24" s="27" t="str">
        <f>IF(N24="","vacía",SUBSTITUTE(N24," ","_"))</f>
        <v>NORUEGA</v>
      </c>
      <c r="P24" s="218" t="str">
        <f>VLOOKUP(A24,tDatos[],9,0)</f>
        <v>Dallas</v>
      </c>
      <c r="R24" s="304" t="str">
        <f>IF(G24="","",IF(G24="E","Suma los penales",IF(G24="G",F24,N24)))</f>
        <v>NORUEGA</v>
      </c>
      <c r="T24" s="296"/>
      <c r="U24" s="299"/>
      <c r="V24" s="299"/>
      <c r="W24" s="296"/>
      <c r="X24" s="296"/>
      <c r="Y24" s="284"/>
      <c r="Z24" s="284"/>
      <c r="AA24" s="284"/>
      <c r="AB24" s="284"/>
      <c r="AC24" s="284"/>
      <c r="AD24" s="284"/>
      <c r="AE24" s="284"/>
      <c r="AF24" s="284"/>
      <c r="AG24" s="284"/>
    </row>
    <row r="25" spans="1:38" ht="7.5" customHeight="1" thickBot="1" x14ac:dyDescent="0.3">
      <c r="A25" s="229"/>
      <c r="B25" s="194"/>
      <c r="C25" s="196"/>
      <c r="D25" s="196"/>
      <c r="E25" s="18"/>
      <c r="F25" s="198"/>
      <c r="G25" s="192"/>
      <c r="H25" s="20"/>
      <c r="I25" s="191"/>
      <c r="J25" s="192"/>
      <c r="K25" s="191"/>
      <c r="L25" s="192"/>
      <c r="M25" s="19"/>
      <c r="N25" s="193"/>
      <c r="O25" s="18"/>
      <c r="P25" s="218"/>
      <c r="R25" s="305"/>
      <c r="T25" s="294">
        <v>4</v>
      </c>
      <c r="U25" s="297" t="str">
        <f>VLOOKUP(T25,$Z$10:$AA$69,2,0)</f>
        <v>ECUADOR</v>
      </c>
      <c r="V25" s="297">
        <f>VLOOKUP(T25,$Z$10:$AB$69,3,0)</f>
        <v>4</v>
      </c>
      <c r="W25" s="294">
        <f>VLOOKUP(T25,$Z$10:$AC$69,4,0)</f>
        <v>0</v>
      </c>
      <c r="X25" s="294">
        <f>VLOOKUP(T25,$Z$10:$AD$69,5,0)</f>
        <v>2</v>
      </c>
      <c r="Y25" s="284" t="str">
        <f>VLOOKUP(T25,$Z$10:$AF$69,7,0)</f>
        <v>E</v>
      </c>
      <c r="Z25" s="284">
        <f>RANK(AE25,$AE$10:$AE$69)</f>
        <v>7</v>
      </c>
      <c r="AA25" s="284" t="str">
        <f>IF($AL$8=144,TerceroD,"")</f>
        <v>PARAGUAY</v>
      </c>
      <c r="AB25" s="284">
        <f>D!$AC$20</f>
        <v>4</v>
      </c>
      <c r="AC25" s="284">
        <f>D!$AB$20</f>
        <v>-2</v>
      </c>
      <c r="AD25" s="284">
        <f>D!$Z$20</f>
        <v>2</v>
      </c>
      <c r="AE25" s="284">
        <f>AB25*10000+AC25*1000+AD25*100+8+_xlfn.IFNA(VLOOKUP(AA25,$AJ$11:$AL$68,3,0)-8,0)</f>
        <v>38208</v>
      </c>
      <c r="AF25" s="284" t="s">
        <v>429</v>
      </c>
      <c r="AG25" s="284">
        <f>V25*100+W25*10+X25</f>
        <v>402</v>
      </c>
    </row>
    <row r="26" spans="1:38" ht="7.5" customHeight="1" x14ac:dyDescent="0.25">
      <c r="A26" s="185"/>
      <c r="B26" s="17"/>
      <c r="C26" s="301"/>
      <c r="D26" s="303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306"/>
      <c r="T26" s="295"/>
      <c r="U26" s="298"/>
      <c r="V26" s="298"/>
      <c r="W26" s="295"/>
      <c r="X26" s="295"/>
      <c r="Y26" s="284"/>
      <c r="Z26" s="284"/>
      <c r="AA26" s="284"/>
      <c r="AB26" s="284"/>
      <c r="AC26" s="284"/>
      <c r="AD26" s="284"/>
      <c r="AE26" s="284"/>
      <c r="AF26" s="284"/>
      <c r="AG26" s="284"/>
      <c r="AI26" s="283" t="str">
        <f>IF(AND($AL$8=144,COUNTIF($AG$10:$AG$69,AG25)&gt;1),"! ","")</f>
        <v xml:space="preserve">! </v>
      </c>
      <c r="AJ26" s="311" t="s">
        <v>65</v>
      </c>
      <c r="AL26" s="263">
        <v>0.9</v>
      </c>
    </row>
    <row r="27" spans="1:38" ht="7.5" customHeight="1" thickBot="1" x14ac:dyDescent="0.3">
      <c r="A27" s="185"/>
      <c r="B27" s="17"/>
      <c r="C27" s="301"/>
      <c r="D27" s="303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306"/>
      <c r="T27" s="295"/>
      <c r="U27" s="298"/>
      <c r="V27" s="298"/>
      <c r="W27" s="295"/>
      <c r="X27" s="295"/>
      <c r="Y27" s="284"/>
      <c r="Z27" s="284"/>
      <c r="AA27" s="284"/>
      <c r="AB27" s="284"/>
      <c r="AC27" s="284"/>
      <c r="AD27" s="284"/>
      <c r="AE27" s="284"/>
      <c r="AF27" s="284"/>
      <c r="AG27" s="284"/>
      <c r="AI27" s="283"/>
      <c r="AJ27" s="312"/>
      <c r="AL27" s="263"/>
    </row>
    <row r="28" spans="1:38" ht="7.5" customHeight="1" x14ac:dyDescent="0.25">
      <c r="A28" s="229">
        <v>78</v>
      </c>
      <c r="B28" s="194">
        <v>77</v>
      </c>
      <c r="C28" s="195">
        <f>VLOOKUP(A28,tDatos[],IF(UTCElegido="",3,12),0)</f>
        <v>46203</v>
      </c>
      <c r="D28" s="197">
        <f>VLOOKUP(A28,tDatos[],IF(UTCElegido="",4,12),0)</f>
        <v>0.70833333333575865</v>
      </c>
      <c r="E28" s="27" t="str">
        <f>IF(F28="","vacía",SUBSTITUTE(F28," ","_"))</f>
        <v>FRANCIA</v>
      </c>
      <c r="F28" s="198" t="str">
        <f>IF($AL$8=144,VLOOKUP(A28,tDatos[],5,0),"")</f>
        <v>FRANCIA</v>
      </c>
      <c r="G28" s="192" t="str">
        <f>IF(AND(I28&lt;&gt;"",K28&lt;&gt;""),IF(I28=K28,"E",IF(I28&gt;K28,"G","P")),"")</f>
        <v>G</v>
      </c>
      <c r="H28" s="20"/>
      <c r="I28" s="190">
        <v>3</v>
      </c>
      <c r="J28" s="192" t="s">
        <v>0</v>
      </c>
      <c r="K28" s="190">
        <v>0</v>
      </c>
      <c r="L28" s="192" t="str">
        <f>IF(AND(K28&lt;&gt;"",I28&lt;&gt;""),IF(K28=I28,"E",IF(K28&gt;I28,"G","P")),"")</f>
        <v>P</v>
      </c>
      <c r="M28" s="19"/>
      <c r="N28" s="193" t="str">
        <f>IF($AL$8=144,VLOOKUP(A28,tDatos[],6,0),"")</f>
        <v>SUECIA</v>
      </c>
      <c r="O28" s="27" t="str">
        <f>IF(N28="","vacía",SUBSTITUTE(N28," ","_"))</f>
        <v>SUECIA</v>
      </c>
      <c r="P28" s="218" t="str">
        <f>VLOOKUP(A28,tDatos[],9,0)</f>
        <v>N. York/N. Jersey</v>
      </c>
      <c r="R28" s="304" t="str">
        <f>IF(G28="","",IF(G28="E","Suma los penales",IF(G28="G",F28,N28)))</f>
        <v>FRANCIA</v>
      </c>
      <c r="T28" s="295"/>
      <c r="U28" s="298"/>
      <c r="V28" s="298"/>
      <c r="W28" s="295"/>
      <c r="X28" s="295"/>
      <c r="Y28" s="284"/>
      <c r="Z28" s="284"/>
      <c r="AA28" s="284"/>
      <c r="AB28" s="284"/>
      <c r="AC28" s="284"/>
      <c r="AD28" s="284"/>
      <c r="AE28" s="284"/>
      <c r="AF28" s="284"/>
      <c r="AG28" s="284"/>
      <c r="AI28" s="283"/>
      <c r="AJ28" s="313"/>
      <c r="AL28" s="263"/>
    </row>
    <row r="29" spans="1:38" ht="8.25" customHeight="1" thickBot="1" x14ac:dyDescent="0.3">
      <c r="A29" s="229"/>
      <c r="B29" s="194"/>
      <c r="C29" s="196"/>
      <c r="D29" s="196"/>
      <c r="E29" s="18"/>
      <c r="F29" s="198"/>
      <c r="G29" s="192"/>
      <c r="H29" s="20"/>
      <c r="I29" s="191"/>
      <c r="J29" s="192"/>
      <c r="K29" s="191"/>
      <c r="L29" s="192"/>
      <c r="M29" s="19"/>
      <c r="N29" s="193"/>
      <c r="O29" s="18"/>
      <c r="P29" s="218"/>
      <c r="R29" s="305"/>
      <c r="T29" s="296"/>
      <c r="U29" s="299"/>
      <c r="V29" s="299"/>
      <c r="W29" s="296"/>
      <c r="X29" s="296"/>
      <c r="Y29" s="284"/>
      <c r="Z29" s="284"/>
      <c r="AA29" s="284"/>
      <c r="AB29" s="284"/>
      <c r="AC29" s="284"/>
      <c r="AD29" s="284"/>
      <c r="AE29" s="284"/>
      <c r="AF29" s="284"/>
      <c r="AG29" s="284"/>
    </row>
    <row r="30" spans="1:38" ht="7.5" customHeight="1" x14ac:dyDescent="0.25">
      <c r="A30" s="185"/>
      <c r="B30" s="17"/>
      <c r="C30" s="301"/>
      <c r="D30" s="303"/>
      <c r="E30" s="18"/>
      <c r="F30" s="232"/>
      <c r="G30" s="18"/>
      <c r="H30" s="18"/>
      <c r="I30" s="307"/>
      <c r="J30" s="192"/>
      <c r="K30" s="307"/>
      <c r="L30" s="18"/>
      <c r="M30" s="18"/>
      <c r="N30" s="232"/>
      <c r="O30" s="18"/>
      <c r="P30" s="236"/>
      <c r="R30" s="306"/>
      <c r="T30" s="294">
        <v>5</v>
      </c>
      <c r="U30" s="297" t="str">
        <f>VLOOKUP(T30,$Z$10:$AA$69,2,0)</f>
        <v>BOSNIA y HERZEG.</v>
      </c>
      <c r="V30" s="297">
        <f>VLOOKUP(T30,$Z$10:$AB$69,3,0)</f>
        <v>4</v>
      </c>
      <c r="W30" s="294">
        <f>VLOOKUP(T30,$Z$10:$AC$69,4,0)</f>
        <v>-1</v>
      </c>
      <c r="X30" s="294">
        <f>VLOOKUP(T30,$Z$10:$AD$69,5,0)</f>
        <v>5</v>
      </c>
      <c r="Y30" s="284" t="str">
        <f>VLOOKUP(T30,$Z$10:$AF$69,7,0)</f>
        <v>B</v>
      </c>
      <c r="Z30" s="284">
        <f>RANK(AE30,$AE$10:$AE$69)</f>
        <v>4</v>
      </c>
      <c r="AA30" s="284" t="str">
        <f>IF($AL$8=144,TerceroE,"")</f>
        <v>ECUADOR</v>
      </c>
      <c r="AB30" s="284">
        <f>E!$AC$20</f>
        <v>4</v>
      </c>
      <c r="AC30" s="284">
        <f>E!$AB$20</f>
        <v>0</v>
      </c>
      <c r="AD30" s="284">
        <f>E!$Z$20</f>
        <v>2</v>
      </c>
      <c r="AE30" s="284">
        <f>AB30*10000+AC30*1000+AD30*100+7+_xlfn.IFNA(VLOOKUP(AA30,$AJ$11:$AL$68,3,0)-7,0)</f>
        <v>40200.9</v>
      </c>
      <c r="AF30" s="284" t="s">
        <v>430</v>
      </c>
      <c r="AG30" s="284">
        <f>V30*100+W30*10+X30</f>
        <v>395</v>
      </c>
    </row>
    <row r="31" spans="1:38" ht="7.5" customHeight="1" thickBot="1" x14ac:dyDescent="0.3">
      <c r="A31" s="185"/>
      <c r="B31" s="17"/>
      <c r="C31" s="301"/>
      <c r="D31" s="303"/>
      <c r="E31" s="18"/>
      <c r="F31" s="232"/>
      <c r="G31" s="18"/>
      <c r="H31" s="18"/>
      <c r="I31" s="308"/>
      <c r="J31" s="192"/>
      <c r="K31" s="308"/>
      <c r="L31" s="18"/>
      <c r="M31" s="18"/>
      <c r="N31" s="232"/>
      <c r="O31" s="18"/>
      <c r="P31" s="236"/>
      <c r="R31" s="306"/>
      <c r="T31" s="295"/>
      <c r="U31" s="298"/>
      <c r="V31" s="298"/>
      <c r="W31" s="295"/>
      <c r="X31" s="295"/>
      <c r="Y31" s="284"/>
      <c r="Z31" s="284"/>
      <c r="AA31" s="284"/>
      <c r="AB31" s="284"/>
      <c r="AC31" s="284"/>
      <c r="AD31" s="284"/>
      <c r="AE31" s="284"/>
      <c r="AF31" s="284"/>
      <c r="AG31" s="284"/>
      <c r="AI31" s="283" t="str">
        <f>IF(AND($AL$8=144,COUNTIF($AG$10:$AG$69,AG30)&gt;1),"! ","")</f>
        <v/>
      </c>
      <c r="AJ31" s="311"/>
      <c r="AL31" s="263">
        <v>0.8</v>
      </c>
    </row>
    <row r="32" spans="1:38" ht="7.5" customHeight="1" x14ac:dyDescent="0.25">
      <c r="A32" s="229">
        <v>79</v>
      </c>
      <c r="B32" s="194">
        <v>79</v>
      </c>
      <c r="C32" s="195">
        <f>VLOOKUP(A32,tDatos[],IF(UTCElegido="",3,12),0)</f>
        <v>46203</v>
      </c>
      <c r="D32" s="197">
        <f>VLOOKUP(A32,tDatos[],IF(UTCElegido="",4,12),0)</f>
        <v>0.875</v>
      </c>
      <c r="E32" s="27" t="str">
        <f>IF(F32="","vacía",SUBSTITUTE(F32," ","_"))</f>
        <v>MÉXICO</v>
      </c>
      <c r="F32" s="198" t="str">
        <f>IF($AL$8=144,VLOOKUP(A32,tDatos[],5,0),"")</f>
        <v>MÉXICO</v>
      </c>
      <c r="G32" s="192" t="str">
        <f>IF(AND(I32&lt;&gt;"",K32&lt;&gt;""),IF(I32=K32,"E",IF(I32&gt;K32,"G","P")),"")</f>
        <v>G</v>
      </c>
      <c r="H32" s="20"/>
      <c r="I32" s="190">
        <v>2</v>
      </c>
      <c r="J32" s="192" t="s">
        <v>0</v>
      </c>
      <c r="K32" s="190">
        <v>0</v>
      </c>
      <c r="L32" s="192" t="str">
        <f>IF(AND(K32&lt;&gt;"",I32&lt;&gt;""),IF(K32=I32,"E",IF(K32&gt;I32,"G","P")),"")</f>
        <v>P</v>
      </c>
      <c r="M32" s="19"/>
      <c r="N32" s="193" t="str">
        <f>IF($AL$8=144,VLOOKUP(A32,tDatos[],6,0),"")</f>
        <v>ECUADOR</v>
      </c>
      <c r="O32" s="27" t="str">
        <f>IF(N32="","vacía",SUBSTITUTE(N32," ","_"))</f>
        <v>ECUADOR</v>
      </c>
      <c r="P32" s="218" t="str">
        <f>VLOOKUP(A32,tDatos[],9,0)</f>
        <v>Ciudad de México</v>
      </c>
      <c r="R32" s="304" t="str">
        <f>IF(G32="","",IF(G32="E","Suma los penales",IF(G32="G",F32,N32)))</f>
        <v>MÉXICO</v>
      </c>
      <c r="T32" s="295"/>
      <c r="U32" s="298"/>
      <c r="V32" s="298"/>
      <c r="W32" s="295"/>
      <c r="X32" s="295"/>
      <c r="Y32" s="284"/>
      <c r="Z32" s="284"/>
      <c r="AA32" s="284"/>
      <c r="AB32" s="284"/>
      <c r="AC32" s="284"/>
      <c r="AD32" s="284"/>
      <c r="AE32" s="284"/>
      <c r="AF32" s="284"/>
      <c r="AG32" s="284"/>
      <c r="AI32" s="283"/>
      <c r="AJ32" s="312"/>
      <c r="AL32" s="263"/>
    </row>
    <row r="33" spans="1:38" ht="7.5" customHeight="1" thickBot="1" x14ac:dyDescent="0.3">
      <c r="A33" s="229"/>
      <c r="B33" s="194"/>
      <c r="C33" s="196"/>
      <c r="D33" s="196"/>
      <c r="E33" s="18"/>
      <c r="F33" s="198"/>
      <c r="G33" s="192"/>
      <c r="H33" s="20"/>
      <c r="I33" s="191"/>
      <c r="J33" s="192"/>
      <c r="K33" s="191"/>
      <c r="L33" s="192"/>
      <c r="M33" s="19"/>
      <c r="N33" s="193"/>
      <c r="O33" s="18"/>
      <c r="P33" s="218"/>
      <c r="R33" s="305"/>
      <c r="T33" s="295"/>
      <c r="U33" s="298"/>
      <c r="V33" s="298"/>
      <c r="W33" s="295"/>
      <c r="X33" s="295"/>
      <c r="Y33" s="284"/>
      <c r="Z33" s="284"/>
      <c r="AA33" s="284"/>
      <c r="AB33" s="284"/>
      <c r="AC33" s="284"/>
      <c r="AD33" s="284"/>
      <c r="AE33" s="284"/>
      <c r="AF33" s="284"/>
      <c r="AG33" s="284"/>
      <c r="AI33" s="283"/>
      <c r="AJ33" s="313"/>
      <c r="AL33" s="263"/>
    </row>
    <row r="34" spans="1:38" ht="7.5" customHeight="1" x14ac:dyDescent="0.25">
      <c r="A34" s="185"/>
      <c r="B34" s="17"/>
      <c r="C34" s="301"/>
      <c r="D34" s="303"/>
      <c r="E34" s="18"/>
      <c r="F34" s="232"/>
      <c r="G34" s="18"/>
      <c r="H34" s="18"/>
      <c r="I34" s="192"/>
      <c r="J34" s="192"/>
      <c r="K34" s="192"/>
      <c r="L34" s="18"/>
      <c r="M34" s="18"/>
      <c r="N34" s="232"/>
      <c r="O34" s="18"/>
      <c r="P34" s="236"/>
      <c r="R34" s="306"/>
      <c r="T34" s="296"/>
      <c r="U34" s="299"/>
      <c r="V34" s="299"/>
      <c r="W34" s="296"/>
      <c r="X34" s="296"/>
      <c r="Y34" s="284"/>
      <c r="Z34" s="284"/>
      <c r="AA34" s="284"/>
      <c r="AB34" s="284"/>
      <c r="AC34" s="284"/>
      <c r="AD34" s="284"/>
      <c r="AE34" s="284"/>
      <c r="AF34" s="284"/>
      <c r="AG34" s="284"/>
    </row>
    <row r="35" spans="1:38" ht="7.5" customHeight="1" thickBot="1" x14ac:dyDescent="0.3">
      <c r="A35" s="185"/>
      <c r="B35" s="17"/>
      <c r="C35" s="301"/>
      <c r="D35" s="303"/>
      <c r="E35" s="18"/>
      <c r="F35" s="232"/>
      <c r="G35" s="18"/>
      <c r="H35" s="18"/>
      <c r="I35" s="192"/>
      <c r="J35" s="192"/>
      <c r="K35" s="192"/>
      <c r="L35" s="18"/>
      <c r="M35" s="18"/>
      <c r="N35" s="232"/>
      <c r="O35" s="18"/>
      <c r="P35" s="236"/>
      <c r="R35" s="306"/>
      <c r="T35" s="294">
        <v>6</v>
      </c>
      <c r="U35" s="297" t="str">
        <f>VLOOKUP(T35,$Z$10:$AA$69,2,0)</f>
        <v>ARGELIA</v>
      </c>
      <c r="V35" s="297">
        <f>VLOOKUP(T35,$Z$10:$AB$69,3,0)</f>
        <v>4</v>
      </c>
      <c r="W35" s="294">
        <f>VLOOKUP(T35,$Z$10:$AC$69,4,0)</f>
        <v>-2</v>
      </c>
      <c r="X35" s="294">
        <f>VLOOKUP(T35,$Z$10:$AD$69,5,0)</f>
        <v>5</v>
      </c>
      <c r="Y35" s="284" t="str">
        <f>VLOOKUP(T35,$Z$10:$AF$69,7,0)</f>
        <v>J</v>
      </c>
      <c r="Z35" s="284">
        <f>RANK(AE35,$AE$10:$AE$69)</f>
        <v>2</v>
      </c>
      <c r="AA35" s="284" t="str">
        <f>IF($AL$8=144,TerceroF,"")</f>
        <v>SUECIA</v>
      </c>
      <c r="AB35" s="284">
        <f>F!$AC$20</f>
        <v>4</v>
      </c>
      <c r="AC35" s="284">
        <f>F!$AB$20</f>
        <v>0</v>
      </c>
      <c r="AD35" s="284">
        <f>F!$Z$20</f>
        <v>7</v>
      </c>
      <c r="AE35" s="284">
        <f>AB35*10000+AC35*1000+AD35*100+6+_xlfn.IFNA(VLOOKUP(AA35,$AJ$11:$AL$68,3,0)-6,0)</f>
        <v>40706</v>
      </c>
      <c r="AF35" s="284" t="s">
        <v>431</v>
      </c>
      <c r="AG35" s="284">
        <f>V35*100+W35*10+X35</f>
        <v>385</v>
      </c>
    </row>
    <row r="36" spans="1:38" ht="7.5" customHeight="1" x14ac:dyDescent="0.25">
      <c r="A36" s="229">
        <v>80</v>
      </c>
      <c r="B36" s="194">
        <v>80</v>
      </c>
      <c r="C36" s="195">
        <f>VLOOKUP(A36,tDatos[],IF(UTCElegido="",3,12),0)</f>
        <v>46204</v>
      </c>
      <c r="D36" s="197">
        <f>VLOOKUP(A36,tDatos[],IF(UTCElegido="",4,12),0)</f>
        <v>0.5</v>
      </c>
      <c r="E36" s="27" t="str">
        <f>IF(F36="","vacía",SUBSTITUTE(F36," ","_"))</f>
        <v>INGLATERRA</v>
      </c>
      <c r="F36" s="198" t="str">
        <f>IF($AL$8=144,VLOOKUP(A36,tDatos[],5,0),"")</f>
        <v>INGLATERRA</v>
      </c>
      <c r="G36" s="192" t="str">
        <f>IF(AND(I36&lt;&gt;"",K36&lt;&gt;""),IF(I36=K36,"E",IF(I36&gt;K36,"G","P")),"")</f>
        <v>G</v>
      </c>
      <c r="H36" s="20"/>
      <c r="I36" s="190">
        <v>2</v>
      </c>
      <c r="J36" s="192" t="s">
        <v>0</v>
      </c>
      <c r="K36" s="190">
        <v>1</v>
      </c>
      <c r="L36" s="192" t="str">
        <f>IF(AND(K36&lt;&gt;"",I36&lt;&gt;""),IF(K36=I36,"E",IF(K36&gt;I36,"G","P")),"")</f>
        <v>P</v>
      </c>
      <c r="M36" s="19"/>
      <c r="N36" s="193" t="str">
        <f>IF($AL$8=144,VLOOKUP(A36,tDatos[],6,0),"")</f>
        <v>REP. del CONGO</v>
      </c>
      <c r="O36" s="27" t="str">
        <f>IF(N36="","vacía",SUBSTITUTE(N36," ","_"))</f>
        <v>REP._del_CONGO</v>
      </c>
      <c r="P36" s="218" t="str">
        <f>VLOOKUP(A36,tDatos[],9,0)</f>
        <v>Atlanta</v>
      </c>
      <c r="R36" s="304" t="str">
        <f>IF(G36="","",IF(G36="E","Suma los penales",IF(G36="G",F36,N36)))</f>
        <v>INGLATERRA</v>
      </c>
      <c r="T36" s="295"/>
      <c r="U36" s="298"/>
      <c r="V36" s="298"/>
      <c r="W36" s="295"/>
      <c r="X36" s="295"/>
      <c r="Y36" s="284"/>
      <c r="Z36" s="284"/>
      <c r="AA36" s="284"/>
      <c r="AB36" s="284"/>
      <c r="AC36" s="284"/>
      <c r="AD36" s="284"/>
      <c r="AE36" s="284"/>
      <c r="AF36" s="284"/>
      <c r="AG36" s="284"/>
      <c r="AI36" s="283" t="str">
        <f>IF(AND($AL$8=144,COUNTIF($AG$10:$AG$69,AG35)&gt;1),"! ","")</f>
        <v/>
      </c>
      <c r="AJ36" s="311"/>
      <c r="AL36" s="263">
        <v>0.7</v>
      </c>
    </row>
    <row r="37" spans="1:38" ht="7.5" customHeight="1" thickBot="1" x14ac:dyDescent="0.3">
      <c r="A37" s="229"/>
      <c r="B37" s="194"/>
      <c r="C37" s="196"/>
      <c r="D37" s="196"/>
      <c r="E37" s="18"/>
      <c r="F37" s="198"/>
      <c r="G37" s="192"/>
      <c r="H37" s="20"/>
      <c r="I37" s="191"/>
      <c r="J37" s="192"/>
      <c r="K37" s="191"/>
      <c r="L37" s="192"/>
      <c r="M37" s="19"/>
      <c r="N37" s="193"/>
      <c r="O37" s="18"/>
      <c r="P37" s="218"/>
      <c r="R37" s="305"/>
      <c r="T37" s="295"/>
      <c r="U37" s="298"/>
      <c r="V37" s="298"/>
      <c r="W37" s="295"/>
      <c r="X37" s="295"/>
      <c r="Y37" s="284"/>
      <c r="Z37" s="284"/>
      <c r="AA37" s="284"/>
      <c r="AB37" s="284"/>
      <c r="AC37" s="284"/>
      <c r="AD37" s="284"/>
      <c r="AE37" s="284"/>
      <c r="AF37" s="284"/>
      <c r="AG37" s="284"/>
      <c r="AI37" s="283"/>
      <c r="AJ37" s="312"/>
      <c r="AL37" s="263"/>
    </row>
    <row r="38" spans="1:38" ht="7.5" customHeight="1" x14ac:dyDescent="0.25">
      <c r="A38" s="185"/>
      <c r="B38" s="17"/>
      <c r="C38" s="318"/>
      <c r="D38" s="302"/>
      <c r="E38" s="18"/>
      <c r="F38" s="232"/>
      <c r="G38" s="18"/>
      <c r="H38" s="18"/>
      <c r="I38" s="192"/>
      <c r="J38" s="192"/>
      <c r="K38" s="192"/>
      <c r="L38" s="18"/>
      <c r="M38" s="18"/>
      <c r="N38" s="232"/>
      <c r="O38" s="18"/>
      <c r="P38" s="317"/>
      <c r="R38" s="315"/>
      <c r="T38" s="295"/>
      <c r="U38" s="298"/>
      <c r="V38" s="298"/>
      <c r="W38" s="295"/>
      <c r="X38" s="295"/>
      <c r="Y38" s="284"/>
      <c r="Z38" s="284"/>
      <c r="AA38" s="284"/>
      <c r="AB38" s="284"/>
      <c r="AC38" s="284"/>
      <c r="AD38" s="284"/>
      <c r="AE38" s="284"/>
      <c r="AF38" s="284"/>
      <c r="AG38" s="284"/>
      <c r="AI38" s="283"/>
      <c r="AJ38" s="313"/>
      <c r="AL38" s="263"/>
    </row>
    <row r="39" spans="1:38" ht="7.5" customHeight="1" thickBot="1" x14ac:dyDescent="0.3">
      <c r="A39" s="185"/>
      <c r="B39" s="17"/>
      <c r="C39" s="318"/>
      <c r="D39" s="302"/>
      <c r="E39" s="18"/>
      <c r="F39" s="232"/>
      <c r="G39" s="18"/>
      <c r="H39" s="18"/>
      <c r="I39" s="192"/>
      <c r="J39" s="192"/>
      <c r="K39" s="192"/>
      <c r="L39" s="18"/>
      <c r="M39" s="18"/>
      <c r="N39" s="232"/>
      <c r="O39" s="18"/>
      <c r="P39" s="317"/>
      <c r="R39" s="316"/>
      <c r="T39" s="296"/>
      <c r="U39" s="299"/>
      <c r="V39" s="299"/>
      <c r="W39" s="296"/>
      <c r="X39" s="296"/>
      <c r="Y39" s="284"/>
      <c r="Z39" s="284"/>
      <c r="AA39" s="284"/>
      <c r="AB39" s="284"/>
      <c r="AC39" s="284"/>
      <c r="AD39" s="284"/>
      <c r="AE39" s="284"/>
      <c r="AF39" s="284"/>
      <c r="AG39" s="284"/>
    </row>
    <row r="40" spans="1:38" ht="7.5" customHeight="1" x14ac:dyDescent="0.25">
      <c r="A40" s="229">
        <v>81</v>
      </c>
      <c r="B40" s="194">
        <v>82</v>
      </c>
      <c r="C40" s="195">
        <f>VLOOKUP(A40,tDatos[],IF(UTCElegido="",3,12),0)</f>
        <v>46204</v>
      </c>
      <c r="D40" s="197">
        <f>VLOOKUP(A40,tDatos[],IF(UTCElegido="",4,12),0)</f>
        <v>0.66666666666424135</v>
      </c>
      <c r="E40" s="27" t="str">
        <f>IF(F40="","vacía",SUBSTITUTE(F40," ","_"))</f>
        <v>BÉLGICA</v>
      </c>
      <c r="F40" s="198" t="str">
        <f>IF($AL$8=144,VLOOKUP(A40,tDatos[],5,0),"")</f>
        <v>BÉLGICA</v>
      </c>
      <c r="G40" s="192" t="str">
        <f>IF(AND(I40&lt;&gt;"",K40&lt;&gt;""),IF(I40=K40,"E",IF(I40&gt;K40,"G","P")),"")</f>
        <v>G</v>
      </c>
      <c r="H40" s="20"/>
      <c r="I40" s="190">
        <v>3</v>
      </c>
      <c r="J40" s="192" t="s">
        <v>0</v>
      </c>
      <c r="K40" s="190">
        <v>2</v>
      </c>
      <c r="L40" s="192" t="str">
        <f>IF(AND(K40&lt;&gt;"",I40&lt;&gt;""),IF(K40=I40,"E",IF(K40&gt;I40,"G","P")),"")</f>
        <v>P</v>
      </c>
      <c r="M40" s="19"/>
      <c r="N40" s="193" t="str">
        <f>IF($AL$8=144,VLOOKUP(A40,tDatos[],6,0),"")</f>
        <v>SENEGAL</v>
      </c>
      <c r="O40" s="27" t="str">
        <f>IF(N40="","vacía",SUBSTITUTE(N40," ","_"))</f>
        <v>SENEGAL</v>
      </c>
      <c r="P40" s="218" t="str">
        <f>VLOOKUP(A40,tDatos[],9,0)</f>
        <v>Seattle</v>
      </c>
      <c r="R40" s="304" t="str">
        <f>IF(G40="","",IF(G40="E","Suma los penales",IF(G40="G",F40,N40)))</f>
        <v>BÉLGICA</v>
      </c>
      <c r="T40" s="294">
        <v>7</v>
      </c>
      <c r="U40" s="297" t="str">
        <f>VLOOKUP(T40,$Z$10:$AA$69,2,0)</f>
        <v>PARAGUAY</v>
      </c>
      <c r="V40" s="297">
        <f>VLOOKUP(T40,$Z$10:$AB$69,3,0)</f>
        <v>4</v>
      </c>
      <c r="W40" s="294">
        <f>VLOOKUP(T40,$Z$10:$AC$69,4,0)</f>
        <v>-2</v>
      </c>
      <c r="X40" s="294">
        <f>VLOOKUP(T40,$Z$10:$AD$69,5,0)</f>
        <v>2</v>
      </c>
      <c r="Y40" s="284" t="str">
        <f>VLOOKUP(T40,$Z$10:$AF$69,7,0)</f>
        <v>D</v>
      </c>
      <c r="Z40" s="284">
        <f>RANK(AE40,$AE$10:$AE$69)</f>
        <v>9</v>
      </c>
      <c r="AA40" s="284" t="str">
        <f>IF($AL$8=144,TerceroG,"")</f>
        <v>IRÁN</v>
      </c>
      <c r="AB40" s="284">
        <f>G!$AC$20</f>
        <v>3</v>
      </c>
      <c r="AC40" s="284">
        <f>G!$AB$20</f>
        <v>0</v>
      </c>
      <c r="AD40" s="284">
        <f>G!$Z$20</f>
        <v>3</v>
      </c>
      <c r="AE40" s="284">
        <f>AB40*10000+AC40*1000+AD40*100+5+_xlfn.IFNA(VLOOKUP(AA40,$AJ$11:$AL$68,3,0)-5,0)</f>
        <v>30305</v>
      </c>
      <c r="AF40" s="284" t="s">
        <v>432</v>
      </c>
      <c r="AG40" s="284">
        <f>V40*100+W40*10+X40</f>
        <v>382</v>
      </c>
    </row>
    <row r="41" spans="1:38" ht="7.5" customHeight="1" thickBot="1" x14ac:dyDescent="0.3">
      <c r="A41" s="229"/>
      <c r="B41" s="194"/>
      <c r="C41" s="196"/>
      <c r="D41" s="196"/>
      <c r="E41" s="18"/>
      <c r="F41" s="198"/>
      <c r="G41" s="192"/>
      <c r="H41" s="20"/>
      <c r="I41" s="191"/>
      <c r="J41" s="192"/>
      <c r="K41" s="191"/>
      <c r="L41" s="192"/>
      <c r="M41" s="19"/>
      <c r="N41" s="193"/>
      <c r="O41" s="18"/>
      <c r="P41" s="218"/>
      <c r="R41" s="305"/>
      <c r="T41" s="295"/>
      <c r="U41" s="298"/>
      <c r="V41" s="298"/>
      <c r="W41" s="295"/>
      <c r="X41" s="295"/>
      <c r="Y41" s="284"/>
      <c r="Z41" s="284"/>
      <c r="AA41" s="284"/>
      <c r="AB41" s="284"/>
      <c r="AC41" s="284"/>
      <c r="AD41" s="284"/>
      <c r="AE41" s="284"/>
      <c r="AF41" s="284"/>
      <c r="AG41" s="284"/>
      <c r="AI41" s="283" t="str">
        <f>IF(AND($AL$8=144,COUNTIF($AG$10:$AG$69,AG40)&gt;1),"! ","")</f>
        <v/>
      </c>
      <c r="AJ41" s="311"/>
      <c r="AL41" s="263">
        <v>0.6</v>
      </c>
    </row>
    <row r="42" spans="1:38" ht="7.5" customHeight="1" x14ac:dyDescent="0.25">
      <c r="A42" s="185"/>
      <c r="B42" s="17"/>
      <c r="C42" s="301"/>
      <c r="D42" s="303"/>
      <c r="E42" s="18"/>
      <c r="F42" s="232"/>
      <c r="G42" s="18"/>
      <c r="H42" s="18"/>
      <c r="I42" s="192"/>
      <c r="J42" s="192"/>
      <c r="K42" s="192"/>
      <c r="L42" s="18"/>
      <c r="M42" s="18"/>
      <c r="N42" s="232"/>
      <c r="O42" s="18"/>
      <c r="P42" s="236"/>
      <c r="R42" s="306"/>
      <c r="T42" s="295"/>
      <c r="U42" s="298"/>
      <c r="V42" s="298"/>
      <c r="W42" s="295"/>
      <c r="X42" s="295"/>
      <c r="Y42" s="284"/>
      <c r="Z42" s="284"/>
      <c r="AA42" s="284"/>
      <c r="AB42" s="284"/>
      <c r="AC42" s="284"/>
      <c r="AD42" s="284"/>
      <c r="AE42" s="284"/>
      <c r="AF42" s="284"/>
      <c r="AG42" s="284"/>
      <c r="AI42" s="283"/>
      <c r="AJ42" s="312"/>
      <c r="AL42" s="263"/>
    </row>
    <row r="43" spans="1:38" ht="7.5" customHeight="1" thickBot="1" x14ac:dyDescent="0.3">
      <c r="A43" s="185"/>
      <c r="B43" s="17"/>
      <c r="C43" s="301"/>
      <c r="D43" s="303"/>
      <c r="E43" s="18"/>
      <c r="F43" s="232"/>
      <c r="G43" s="18"/>
      <c r="H43" s="18"/>
      <c r="I43" s="192"/>
      <c r="J43" s="192"/>
      <c r="K43" s="192"/>
      <c r="L43" s="18"/>
      <c r="M43" s="18"/>
      <c r="N43" s="232"/>
      <c r="O43" s="18"/>
      <c r="P43" s="236"/>
      <c r="R43" s="306"/>
      <c r="T43" s="295"/>
      <c r="U43" s="298"/>
      <c r="V43" s="298"/>
      <c r="W43" s="295"/>
      <c r="X43" s="295"/>
      <c r="Y43" s="284"/>
      <c r="Z43" s="284"/>
      <c r="AA43" s="284"/>
      <c r="AB43" s="284"/>
      <c r="AC43" s="284"/>
      <c r="AD43" s="284"/>
      <c r="AE43" s="284"/>
      <c r="AF43" s="284"/>
      <c r="AG43" s="284"/>
      <c r="AI43" s="283"/>
      <c r="AJ43" s="313"/>
      <c r="AL43" s="263"/>
    </row>
    <row r="44" spans="1:38" ht="7.5" customHeight="1" x14ac:dyDescent="0.25">
      <c r="A44" s="229">
        <v>82</v>
      </c>
      <c r="B44" s="194">
        <v>81</v>
      </c>
      <c r="C44" s="195">
        <f>VLOOKUP(A44,tDatos[],IF(UTCElegido="",3,12),0)</f>
        <v>46204</v>
      </c>
      <c r="D44" s="197">
        <f>VLOOKUP(A44,tDatos[],IF(UTCElegido="",4,12),0)</f>
        <v>0.83333333333575865</v>
      </c>
      <c r="E44" s="27" t="str">
        <f>IF(F44="","vacía",SUBSTITUTE(F44," ","_"))</f>
        <v>ESTADOS_UNIDOS</v>
      </c>
      <c r="F44" s="198" t="str">
        <f>IF($AL$8=144,VLOOKUP(A44,tDatos[],5,0),"")</f>
        <v>ESTADOS UNIDOS</v>
      </c>
      <c r="G44" s="192" t="str">
        <f>IF(AND(I44&lt;&gt;"",K44&lt;&gt;""),IF(I44=K44,"E",IF(I44&gt;K44,"G","P")),"")</f>
        <v>G</v>
      </c>
      <c r="H44" s="20"/>
      <c r="I44" s="190">
        <v>2</v>
      </c>
      <c r="J44" s="192" t="s">
        <v>0</v>
      </c>
      <c r="K44" s="190">
        <v>0</v>
      </c>
      <c r="L44" s="192" t="str">
        <f>IF(AND(K44&lt;&gt;"",I44&lt;&gt;""),IF(K44=I44,"E",IF(K44&gt;I44,"G","P")),"")</f>
        <v>P</v>
      </c>
      <c r="M44" s="19"/>
      <c r="N44" s="193" t="str">
        <f>IF($AL$8=144,VLOOKUP(A44,tDatos[],6,0),"")</f>
        <v>BOSNIA y HERZEG.</v>
      </c>
      <c r="O44" s="27" t="str">
        <f>IF(N44="","vacía",SUBSTITUTE(N44," ","_"))</f>
        <v>BOSNIA_y_HERZEG.</v>
      </c>
      <c r="P44" s="218" t="str">
        <f>VLOOKUP(A44,tDatos[],9,0)</f>
        <v>San Francisco</v>
      </c>
      <c r="R44" s="304" t="str">
        <f>IF(G44="","",IF(G44="E","Suma los penales",IF(G44="G",F44,N44)))</f>
        <v>ESTADOS UNIDOS</v>
      </c>
      <c r="T44" s="296"/>
      <c r="U44" s="299"/>
      <c r="V44" s="299"/>
      <c r="W44" s="296"/>
      <c r="X44" s="296"/>
      <c r="Y44" s="284"/>
      <c r="Z44" s="284"/>
      <c r="AA44" s="284"/>
      <c r="AB44" s="284"/>
      <c r="AC44" s="284"/>
      <c r="AD44" s="284"/>
      <c r="AE44" s="284"/>
      <c r="AF44" s="284"/>
      <c r="AG44" s="284"/>
    </row>
    <row r="45" spans="1:38" ht="7.5" customHeight="1" thickBot="1" x14ac:dyDescent="0.3">
      <c r="A45" s="229"/>
      <c r="B45" s="194"/>
      <c r="C45" s="196"/>
      <c r="D45" s="196"/>
      <c r="E45" s="18"/>
      <c r="F45" s="198"/>
      <c r="G45" s="192"/>
      <c r="H45" s="20"/>
      <c r="I45" s="191"/>
      <c r="J45" s="192"/>
      <c r="K45" s="191"/>
      <c r="L45" s="192"/>
      <c r="M45" s="19"/>
      <c r="N45" s="193"/>
      <c r="O45" s="18"/>
      <c r="P45" s="218"/>
      <c r="R45" s="305"/>
      <c r="T45" s="294">
        <v>8</v>
      </c>
      <c r="U45" s="297" t="str">
        <f>VLOOKUP(T45,$Z$10:$AA$69,2,0)</f>
        <v>SENEGAL</v>
      </c>
      <c r="V45" s="297">
        <f>VLOOKUP(T45,$Z$10:$AB$69,3,0)</f>
        <v>3</v>
      </c>
      <c r="W45" s="294">
        <f>VLOOKUP(T45,$Z$10:$AC$69,4,0)</f>
        <v>2</v>
      </c>
      <c r="X45" s="294">
        <f>VLOOKUP(T45,$Z$10:$AD$69,5,0)</f>
        <v>8</v>
      </c>
      <c r="Y45" s="284" t="str">
        <f>VLOOKUP(T45,$Z$10:$AF$69,7,0)</f>
        <v>I</v>
      </c>
      <c r="Z45" s="284">
        <f>RANK(AE45,$AE$10:$AE$69)</f>
        <v>12</v>
      </c>
      <c r="AA45" s="284" t="str">
        <f>IF($AL$8=144,TerceroH,"")</f>
        <v>URUGUAY</v>
      </c>
      <c r="AB45" s="284">
        <f>H!$AC$20</f>
        <v>2</v>
      </c>
      <c r="AC45" s="284">
        <f>H!$AB$20</f>
        <v>-1</v>
      </c>
      <c r="AD45" s="284">
        <f>H!$Z$20</f>
        <v>3</v>
      </c>
      <c r="AE45" s="284">
        <f>AB45*10000+AC45*1000+AD45*100+4+_xlfn.IFNA(VLOOKUP(AA45,$AJ$11:$AL$68,3,0)-4,0)</f>
        <v>19304</v>
      </c>
      <c r="AF45" s="284" t="s">
        <v>433</v>
      </c>
      <c r="AG45" s="284">
        <f>V45*100+W45*10+X45</f>
        <v>328</v>
      </c>
    </row>
    <row r="46" spans="1:38" ht="7.5" customHeight="1" x14ac:dyDescent="0.25">
      <c r="A46" s="185"/>
      <c r="B46" s="17"/>
      <c r="C46" s="301"/>
      <c r="D46" s="303"/>
      <c r="E46" s="18"/>
      <c r="F46" s="232"/>
      <c r="G46" s="18"/>
      <c r="H46" s="18"/>
      <c r="I46" s="192"/>
      <c r="J46" s="192"/>
      <c r="K46" s="192"/>
      <c r="L46" s="18"/>
      <c r="M46" s="18"/>
      <c r="N46" s="232"/>
      <c r="O46" s="18"/>
      <c r="P46" s="236"/>
      <c r="R46" s="306"/>
      <c r="T46" s="295"/>
      <c r="U46" s="298"/>
      <c r="V46" s="298"/>
      <c r="W46" s="295"/>
      <c r="X46" s="295"/>
      <c r="Y46" s="284"/>
      <c r="Z46" s="284"/>
      <c r="AA46" s="284"/>
      <c r="AB46" s="284"/>
      <c r="AC46" s="284"/>
      <c r="AD46" s="284"/>
      <c r="AE46" s="284"/>
      <c r="AF46" s="284"/>
      <c r="AG46" s="284"/>
      <c r="AI46" s="283" t="str">
        <f>IF(AND($AL$8=144,COUNTIF($AG$10:$AG$69,AG45)&gt;1),"! ","")</f>
        <v/>
      </c>
      <c r="AJ46" s="311"/>
      <c r="AL46" s="263">
        <v>0.5</v>
      </c>
    </row>
    <row r="47" spans="1:38" ht="7.5" customHeight="1" thickBot="1" x14ac:dyDescent="0.3">
      <c r="A47" s="185"/>
      <c r="B47" s="17"/>
      <c r="C47" s="301"/>
      <c r="D47" s="303"/>
      <c r="E47" s="18"/>
      <c r="F47" s="232"/>
      <c r="G47" s="18"/>
      <c r="H47" s="18"/>
      <c r="I47" s="192"/>
      <c r="J47" s="192"/>
      <c r="K47" s="192"/>
      <c r="L47" s="18"/>
      <c r="M47" s="18"/>
      <c r="N47" s="232"/>
      <c r="O47" s="18"/>
      <c r="P47" s="236"/>
      <c r="R47" s="306"/>
      <c r="T47" s="295"/>
      <c r="U47" s="298"/>
      <c r="V47" s="298"/>
      <c r="W47" s="295"/>
      <c r="X47" s="295"/>
      <c r="Y47" s="284"/>
      <c r="Z47" s="284"/>
      <c r="AA47" s="284"/>
      <c r="AB47" s="284"/>
      <c r="AC47" s="284"/>
      <c r="AD47" s="284"/>
      <c r="AE47" s="284"/>
      <c r="AF47" s="284"/>
      <c r="AG47" s="284"/>
      <c r="AI47" s="283"/>
      <c r="AJ47" s="312"/>
      <c r="AL47" s="263"/>
    </row>
    <row r="48" spans="1:38" ht="7.5" customHeight="1" x14ac:dyDescent="0.25">
      <c r="A48" s="229">
        <v>83</v>
      </c>
      <c r="B48" s="194">
        <v>84</v>
      </c>
      <c r="C48" s="195">
        <f>VLOOKUP(A48,tDatos[],IF(UTCElegido="",3,12),0)</f>
        <v>46205</v>
      </c>
      <c r="D48" s="197">
        <f>VLOOKUP(A48,tDatos[],IF(UTCElegido="",4,12),0)</f>
        <v>0.625</v>
      </c>
      <c r="E48" s="27" t="str">
        <f>IF(F48="","vacía",SUBSTITUTE(F48," ","_"))</f>
        <v>ESPAÑA</v>
      </c>
      <c r="F48" s="198" t="str">
        <f>IF($AL$8=144,VLOOKUP(A48,tDatos[],5,0),"")</f>
        <v>ESPAÑA</v>
      </c>
      <c r="G48" s="192" t="str">
        <f>IF(AND(I48&lt;&gt;"",K48&lt;&gt;""),IF(I48=K48,"E",IF(I48&gt;K48,"G","P")),"")</f>
        <v>G</v>
      </c>
      <c r="H48" s="20"/>
      <c r="I48" s="190">
        <v>3</v>
      </c>
      <c r="J48" s="192" t="s">
        <v>0</v>
      </c>
      <c r="K48" s="190">
        <v>0</v>
      </c>
      <c r="L48" s="192" t="str">
        <f>IF(AND(K48&lt;&gt;"",I48&lt;&gt;""),IF(K48=I48,"E",IF(K48&gt;I48,"G","P")),"")</f>
        <v>P</v>
      </c>
      <c r="M48" s="19"/>
      <c r="N48" s="193" t="str">
        <f>IF($AL$8=144,VLOOKUP(A48,tDatos[],6,0),"")</f>
        <v>AUSTRIA</v>
      </c>
      <c r="O48" s="27" t="str">
        <f>IF(N48="","vacía",SUBSTITUTE(N48," ","_"))</f>
        <v>AUSTRIA</v>
      </c>
      <c r="P48" s="218" t="str">
        <f>VLOOKUP(A48,tDatos[],9,0)</f>
        <v>Los Angeles</v>
      </c>
      <c r="R48" s="304" t="str">
        <f>IF(G48="","",IF(G48="E","Suma los penales",IF(G48="G",F48,N48)))</f>
        <v>ESPAÑA</v>
      </c>
      <c r="T48" s="295"/>
      <c r="U48" s="298"/>
      <c r="V48" s="298"/>
      <c r="W48" s="295"/>
      <c r="X48" s="295"/>
      <c r="Y48" s="284"/>
      <c r="Z48" s="284"/>
      <c r="AA48" s="284"/>
      <c r="AB48" s="284"/>
      <c r="AC48" s="284"/>
      <c r="AD48" s="284"/>
      <c r="AE48" s="284"/>
      <c r="AF48" s="284"/>
      <c r="AG48" s="284"/>
      <c r="AI48" s="283"/>
      <c r="AJ48" s="313"/>
      <c r="AL48" s="263"/>
    </row>
    <row r="49" spans="1:38" ht="7.5" customHeight="1" thickBot="1" x14ac:dyDescent="0.3">
      <c r="A49" s="229"/>
      <c r="B49" s="194"/>
      <c r="C49" s="196"/>
      <c r="D49" s="196"/>
      <c r="E49" s="18"/>
      <c r="F49" s="198"/>
      <c r="G49" s="192"/>
      <c r="H49" s="20"/>
      <c r="I49" s="191"/>
      <c r="J49" s="192"/>
      <c r="K49" s="191"/>
      <c r="L49" s="192"/>
      <c r="M49" s="19"/>
      <c r="N49" s="193"/>
      <c r="O49" s="18"/>
      <c r="P49" s="218"/>
      <c r="R49" s="305"/>
      <c r="T49" s="296"/>
      <c r="U49" s="299"/>
      <c r="V49" s="299"/>
      <c r="W49" s="296"/>
      <c r="X49" s="296"/>
      <c r="Y49" s="284"/>
      <c r="Z49" s="284"/>
      <c r="AA49" s="284"/>
      <c r="AB49" s="284"/>
      <c r="AC49" s="284"/>
      <c r="AD49" s="284"/>
      <c r="AE49" s="284"/>
      <c r="AF49" s="284"/>
      <c r="AG49" s="284"/>
    </row>
    <row r="50" spans="1:38" ht="7.5" customHeight="1" x14ac:dyDescent="0.25">
      <c r="A50" s="185"/>
      <c r="B50" s="17"/>
      <c r="C50" s="301"/>
      <c r="D50" s="303"/>
      <c r="E50" s="18"/>
      <c r="F50" s="232"/>
      <c r="G50" s="18"/>
      <c r="H50" s="18"/>
      <c r="I50" s="192"/>
      <c r="J50" s="192"/>
      <c r="K50" s="192"/>
      <c r="L50" s="18"/>
      <c r="M50" s="18"/>
      <c r="N50" s="232"/>
      <c r="O50" s="18"/>
      <c r="P50" s="236"/>
      <c r="R50" s="306"/>
      <c r="T50" s="288">
        <v>9</v>
      </c>
      <c r="U50" s="291" t="str">
        <f>VLOOKUP(T50,$Z$10:$AA$69,2,0)</f>
        <v>IRÁN</v>
      </c>
      <c r="V50" s="291">
        <f>VLOOKUP(T50,$Z$10:$AB$69,3,0)</f>
        <v>3</v>
      </c>
      <c r="W50" s="288">
        <f>VLOOKUP(T50,$Z$10:$AC$69,4,0)</f>
        <v>0</v>
      </c>
      <c r="X50" s="288">
        <f>VLOOKUP(T50,$Z$10:$AD$69,5,0)</f>
        <v>3</v>
      </c>
      <c r="Y50" s="284" t="str">
        <f>VLOOKUP(T50,$Z$10:$AF$69,7,0)</f>
        <v>G</v>
      </c>
      <c r="Z50" s="284">
        <f>RANK(AE50,$AE$10:$AE$69)</f>
        <v>8</v>
      </c>
      <c r="AA50" s="284" t="str">
        <f>IF($AL$8=144,TerceroI,"")</f>
        <v>SENEGAL</v>
      </c>
      <c r="AB50" s="284">
        <f>I!$AC$20</f>
        <v>3</v>
      </c>
      <c r="AC50" s="284">
        <f>I!$AB$20</f>
        <v>2</v>
      </c>
      <c r="AD50" s="284">
        <f>I!$Z$20</f>
        <v>8</v>
      </c>
      <c r="AE50" s="284">
        <f>AB50*10000+AC50*1000+AD50*100+3+_xlfn.IFNA(VLOOKUP(AA50,$AJ$11:$AL$68,3,0)-3,0)</f>
        <v>32803</v>
      </c>
      <c r="AF50" s="284" t="s">
        <v>434</v>
      </c>
      <c r="AG50" s="284">
        <f>V50*100+W50*10+X50</f>
        <v>303</v>
      </c>
    </row>
    <row r="51" spans="1:38" ht="7.5" customHeight="1" thickBot="1" x14ac:dyDescent="0.3">
      <c r="A51" s="185"/>
      <c r="B51" s="17"/>
      <c r="C51" s="301"/>
      <c r="D51" s="303"/>
      <c r="E51" s="18"/>
      <c r="F51" s="232"/>
      <c r="G51" s="18"/>
      <c r="H51" s="18"/>
      <c r="I51" s="192"/>
      <c r="J51" s="192"/>
      <c r="K51" s="192"/>
      <c r="L51" s="18"/>
      <c r="M51" s="18"/>
      <c r="N51" s="232"/>
      <c r="O51" s="18"/>
      <c r="P51" s="236"/>
      <c r="R51" s="306"/>
      <c r="T51" s="289"/>
      <c r="U51" s="292"/>
      <c r="V51" s="292"/>
      <c r="W51" s="289"/>
      <c r="X51" s="289"/>
      <c r="Y51" s="284"/>
      <c r="Z51" s="284"/>
      <c r="AA51" s="284"/>
      <c r="AB51" s="284"/>
      <c r="AC51" s="284"/>
      <c r="AD51" s="284"/>
      <c r="AE51" s="284"/>
      <c r="AF51" s="284"/>
      <c r="AG51" s="284"/>
      <c r="AI51" s="283" t="str">
        <f>IF(AND($AL$8=144,COUNTIF($AG$10:$AG$69,AG50)&gt;1),"! ","")</f>
        <v/>
      </c>
      <c r="AJ51" s="311"/>
      <c r="AL51" s="263">
        <v>0.4</v>
      </c>
    </row>
    <row r="52" spans="1:38" ht="7.5" customHeight="1" x14ac:dyDescent="0.25">
      <c r="A52" s="229">
        <v>84</v>
      </c>
      <c r="B52" s="194">
        <v>83</v>
      </c>
      <c r="C52" s="195">
        <f>VLOOKUP(A52,tDatos[],IF(UTCElegido="",3,12),0)</f>
        <v>46205</v>
      </c>
      <c r="D52" s="197">
        <f>VLOOKUP(A52,tDatos[],IF(UTCElegido="",4,12),0)</f>
        <v>0.79166666666424135</v>
      </c>
      <c r="E52" s="27" t="str">
        <f>IF(F52="","vacía",SUBSTITUTE(F52," ","_"))</f>
        <v>PORTUGAL</v>
      </c>
      <c r="F52" s="198" t="str">
        <f>IF($AL$8=144,VLOOKUP(A52,tDatos[],5,0),"")</f>
        <v>PORTUGAL</v>
      </c>
      <c r="G52" s="192" t="str">
        <f>IF(AND(I52&lt;&gt;"",K52&lt;&gt;""),IF(I52=K52,"E",IF(I52&gt;K52,"G","P")),"")</f>
        <v>G</v>
      </c>
      <c r="H52" s="20"/>
      <c r="I52" s="190">
        <v>2</v>
      </c>
      <c r="J52" s="192" t="s">
        <v>0</v>
      </c>
      <c r="K52" s="190">
        <v>1</v>
      </c>
      <c r="L52" s="192" t="str">
        <f>IF(AND(K52&lt;&gt;"",I52&lt;&gt;""),IF(K52=I52,"E",IF(K52&gt;I52,"G","P")),"")</f>
        <v>P</v>
      </c>
      <c r="M52" s="19"/>
      <c r="N52" s="193" t="str">
        <f>IF($AL$8=144,VLOOKUP(A52,tDatos[],6,0),"")</f>
        <v>CROACIA</v>
      </c>
      <c r="O52" s="27" t="str">
        <f>IF(N52="","vacía",SUBSTITUTE(N52," ","_"))</f>
        <v>CROACIA</v>
      </c>
      <c r="P52" s="218" t="str">
        <f>VLOOKUP(A52,tDatos[],9,0)</f>
        <v>Toronto</v>
      </c>
      <c r="R52" s="304" t="str">
        <f>IF(G52="","",IF(G52="E","Suma los penales",IF(G52="G",F52,N52)))</f>
        <v>PORTUGAL</v>
      </c>
      <c r="T52" s="289"/>
      <c r="U52" s="292"/>
      <c r="V52" s="292"/>
      <c r="W52" s="289"/>
      <c r="X52" s="289"/>
      <c r="Y52" s="284"/>
      <c r="Z52" s="284"/>
      <c r="AA52" s="284"/>
      <c r="AB52" s="284"/>
      <c r="AC52" s="284"/>
      <c r="AD52" s="284"/>
      <c r="AE52" s="284"/>
      <c r="AF52" s="284"/>
      <c r="AG52" s="284"/>
      <c r="AI52" s="283"/>
      <c r="AJ52" s="312"/>
      <c r="AL52" s="263"/>
    </row>
    <row r="53" spans="1:38" ht="7.5" customHeight="1" thickBot="1" x14ac:dyDescent="0.3">
      <c r="A53" s="229"/>
      <c r="B53" s="194"/>
      <c r="C53" s="196"/>
      <c r="D53" s="196"/>
      <c r="E53" s="18"/>
      <c r="F53" s="198"/>
      <c r="G53" s="192"/>
      <c r="H53" s="20"/>
      <c r="I53" s="191"/>
      <c r="J53" s="192"/>
      <c r="K53" s="191"/>
      <c r="L53" s="192"/>
      <c r="M53" s="19"/>
      <c r="N53" s="193"/>
      <c r="O53" s="18"/>
      <c r="P53" s="218"/>
      <c r="R53" s="305"/>
      <c r="T53" s="289"/>
      <c r="U53" s="292"/>
      <c r="V53" s="292"/>
      <c r="W53" s="289"/>
      <c r="X53" s="289"/>
      <c r="Y53" s="284"/>
      <c r="Z53" s="284"/>
      <c r="AA53" s="284"/>
      <c r="AB53" s="284"/>
      <c r="AC53" s="284"/>
      <c r="AD53" s="284"/>
      <c r="AE53" s="284"/>
      <c r="AF53" s="284"/>
      <c r="AG53" s="284"/>
      <c r="AI53" s="283"/>
      <c r="AJ53" s="313"/>
      <c r="AL53" s="263"/>
    </row>
    <row r="54" spans="1:38" ht="7.5" customHeight="1" x14ac:dyDescent="0.25">
      <c r="A54" s="185"/>
      <c r="B54" s="17"/>
      <c r="C54" s="301"/>
      <c r="D54" s="303"/>
      <c r="E54" s="18"/>
      <c r="F54" s="232"/>
      <c r="G54" s="18"/>
      <c r="H54" s="18"/>
      <c r="I54" s="192"/>
      <c r="J54" s="192"/>
      <c r="K54" s="192"/>
      <c r="L54" s="18"/>
      <c r="M54" s="18"/>
      <c r="N54" s="232"/>
      <c r="O54" s="18"/>
      <c r="P54" s="236"/>
      <c r="R54" s="306"/>
      <c r="T54" s="290"/>
      <c r="U54" s="293"/>
      <c r="V54" s="293"/>
      <c r="W54" s="290"/>
      <c r="X54" s="290"/>
      <c r="Y54" s="284"/>
      <c r="Z54" s="284"/>
      <c r="AA54" s="284"/>
      <c r="AB54" s="284"/>
      <c r="AC54" s="284"/>
      <c r="AD54" s="284"/>
      <c r="AE54" s="284"/>
      <c r="AF54" s="284"/>
      <c r="AG54" s="284"/>
    </row>
    <row r="55" spans="1:38" ht="7.5" customHeight="1" thickBot="1" x14ac:dyDescent="0.3">
      <c r="A55" s="185"/>
      <c r="B55" s="17"/>
      <c r="C55" s="301"/>
      <c r="D55" s="303"/>
      <c r="E55" s="18"/>
      <c r="F55" s="232"/>
      <c r="G55" s="18"/>
      <c r="H55" s="18"/>
      <c r="I55" s="192"/>
      <c r="J55" s="192"/>
      <c r="K55" s="192"/>
      <c r="L55" s="18"/>
      <c r="M55" s="18"/>
      <c r="N55" s="232"/>
      <c r="O55" s="18"/>
      <c r="P55" s="236"/>
      <c r="R55" s="306"/>
      <c r="T55" s="288">
        <v>10</v>
      </c>
      <c r="U55" s="291" t="str">
        <f>VLOOKUP(T55,$Z$10:$AA$69,2,0)</f>
        <v>COREA del SUR</v>
      </c>
      <c r="V55" s="291">
        <f>VLOOKUP(T55,$Z$10:$AB$69,3,0)</f>
        <v>3</v>
      </c>
      <c r="W55" s="288">
        <f>VLOOKUP(T55,$Z$10:$AC$69,4,0)</f>
        <v>-1</v>
      </c>
      <c r="X55" s="288">
        <f>VLOOKUP(T55,$Z$10:$AD$69,5,0)</f>
        <v>2</v>
      </c>
      <c r="Y55" s="284" t="str">
        <f>VLOOKUP(T55,$Z$10:$AF$69,7,0)</f>
        <v>A</v>
      </c>
      <c r="Z55" s="284">
        <f>RANK(AE55,$AE$10:$AE$69)</f>
        <v>6</v>
      </c>
      <c r="AA55" s="284" t="str">
        <f>IF($AL$8=144,TerceroJ,"")</f>
        <v>ARGELIA</v>
      </c>
      <c r="AB55" s="284">
        <f>J!$AC$20</f>
        <v>4</v>
      </c>
      <c r="AC55" s="284">
        <f>J!$AB$20</f>
        <v>-2</v>
      </c>
      <c r="AD55" s="284">
        <f>J!$Z$20</f>
        <v>5</v>
      </c>
      <c r="AE55" s="284">
        <f>AB55*10000+AC55*1000+AD55*100+2+_xlfn.IFNA(VLOOKUP(AA55,$AJ$11:$AL$68,3,0)-2,0)</f>
        <v>38502</v>
      </c>
      <c r="AF55" s="284" t="s">
        <v>435</v>
      </c>
      <c r="AG55" s="284">
        <f>V55*100+W55*10+X55</f>
        <v>292</v>
      </c>
    </row>
    <row r="56" spans="1:38" ht="7.5" customHeight="1" x14ac:dyDescent="0.25">
      <c r="A56" s="229">
        <v>85</v>
      </c>
      <c r="B56" s="194">
        <v>85</v>
      </c>
      <c r="C56" s="195">
        <f>VLOOKUP(A56,tDatos[],IF(UTCElegido="",3,12),0)</f>
        <v>46205</v>
      </c>
      <c r="D56" s="197">
        <f>VLOOKUP(A56,tDatos[],IF(UTCElegido="",4,12),0)</f>
        <v>0.95833333333575865</v>
      </c>
      <c r="E56" s="27" t="str">
        <f>IF(F56="","vacía",SUBSTITUTE(F56," ","_"))</f>
        <v>SUIZA</v>
      </c>
      <c r="F56" s="198" t="str">
        <f>IF($AL$8=144,VLOOKUP(A56,tDatos[],5,0),"")</f>
        <v>SUIZA</v>
      </c>
      <c r="G56" s="192" t="str">
        <f>IF(AND(I56&lt;&gt;"",K56&lt;&gt;""),IF(I56=K56,"E",IF(I56&gt;K56,"G","P")),"")</f>
        <v>G</v>
      </c>
      <c r="H56" s="20"/>
      <c r="I56" s="190">
        <v>2</v>
      </c>
      <c r="J56" s="192" t="s">
        <v>0</v>
      </c>
      <c r="K56" s="190">
        <v>0</v>
      </c>
      <c r="L56" s="192" t="str">
        <f>IF(AND(K56&lt;&gt;"",I56&lt;&gt;""),IF(K56=I56,"E",IF(K56&gt;I56,"G","P")),"")</f>
        <v>P</v>
      </c>
      <c r="M56" s="19"/>
      <c r="N56" s="193" t="str">
        <f>IF($AL$8=144,VLOOKUP(A56,tDatos[],6,0),"")</f>
        <v>ARGELIA</v>
      </c>
      <c r="O56" s="27" t="str">
        <f>IF(N56="","vacía",SUBSTITUTE(N56," ","_"))</f>
        <v>ARGELIA</v>
      </c>
      <c r="P56" s="218" t="str">
        <f>VLOOKUP(A56,tDatos[],9,0)</f>
        <v>Vancouver</v>
      </c>
      <c r="R56" s="304" t="str">
        <f>IF(G56="","",IF(G56="E","Suma los penales",IF(G56="G",F56,N56)))</f>
        <v>SUIZA</v>
      </c>
      <c r="T56" s="289"/>
      <c r="U56" s="292"/>
      <c r="V56" s="292"/>
      <c r="W56" s="289"/>
      <c r="X56" s="289"/>
      <c r="Y56" s="284"/>
      <c r="Z56" s="284"/>
      <c r="AA56" s="284"/>
      <c r="AB56" s="284"/>
      <c r="AC56" s="284"/>
      <c r="AD56" s="284"/>
      <c r="AE56" s="284"/>
      <c r="AF56" s="284"/>
      <c r="AG56" s="284"/>
      <c r="AI56" s="283" t="str">
        <f>IF(AND($AL$8=144,COUNTIF($AG$10:$AG$69,AG55)&gt;1),"! ","")</f>
        <v/>
      </c>
      <c r="AJ56" s="311"/>
      <c r="AL56" s="263">
        <v>0.3</v>
      </c>
    </row>
    <row r="57" spans="1:38" ht="7.5" customHeight="1" thickBot="1" x14ac:dyDescent="0.3">
      <c r="A57" s="229"/>
      <c r="B57" s="194"/>
      <c r="C57" s="196"/>
      <c r="D57" s="196"/>
      <c r="E57" s="18"/>
      <c r="F57" s="198"/>
      <c r="G57" s="192"/>
      <c r="H57" s="20"/>
      <c r="I57" s="191"/>
      <c r="J57" s="192"/>
      <c r="K57" s="191"/>
      <c r="L57" s="192"/>
      <c r="M57" s="19"/>
      <c r="N57" s="193"/>
      <c r="O57" s="18"/>
      <c r="P57" s="218"/>
      <c r="R57" s="305"/>
      <c r="T57" s="289"/>
      <c r="U57" s="292"/>
      <c r="V57" s="292"/>
      <c r="W57" s="289"/>
      <c r="X57" s="289"/>
      <c r="Y57" s="284"/>
      <c r="Z57" s="284"/>
      <c r="AA57" s="284"/>
      <c r="AB57" s="284"/>
      <c r="AC57" s="284"/>
      <c r="AD57" s="284"/>
      <c r="AE57" s="284"/>
      <c r="AF57" s="284"/>
      <c r="AG57" s="284"/>
      <c r="AI57" s="283"/>
      <c r="AJ57" s="312"/>
      <c r="AL57" s="263"/>
    </row>
    <row r="58" spans="1:38" ht="7.5" customHeight="1" x14ac:dyDescent="0.25">
      <c r="A58" s="185"/>
      <c r="B58" s="17"/>
      <c r="C58" s="301"/>
      <c r="D58" s="303"/>
      <c r="E58" s="18"/>
      <c r="F58" s="232"/>
      <c r="G58" s="18"/>
      <c r="H58" s="18"/>
      <c r="I58" s="192"/>
      <c r="J58" s="192"/>
      <c r="K58" s="192"/>
      <c r="L58" s="18"/>
      <c r="M58" s="18"/>
      <c r="N58" s="232"/>
      <c r="O58" s="18"/>
      <c r="P58" s="236"/>
      <c r="R58" s="306"/>
      <c r="T58" s="289"/>
      <c r="U58" s="292"/>
      <c r="V58" s="292"/>
      <c r="W58" s="289"/>
      <c r="X58" s="289"/>
      <c r="Y58" s="284"/>
      <c r="Z58" s="284"/>
      <c r="AA58" s="284"/>
      <c r="AB58" s="284"/>
      <c r="AC58" s="284"/>
      <c r="AD58" s="284"/>
      <c r="AE58" s="284"/>
      <c r="AF58" s="284"/>
      <c r="AG58" s="284"/>
      <c r="AI58" s="283"/>
      <c r="AJ58" s="313"/>
      <c r="AL58" s="263"/>
    </row>
    <row r="59" spans="1:38" ht="7.5" customHeight="1" thickBot="1" x14ac:dyDescent="0.3">
      <c r="A59" s="185"/>
      <c r="B59" s="17"/>
      <c r="C59" s="301"/>
      <c r="D59" s="303"/>
      <c r="E59" s="18"/>
      <c r="F59" s="232"/>
      <c r="G59" s="18"/>
      <c r="H59" s="18"/>
      <c r="I59" s="192"/>
      <c r="J59" s="192"/>
      <c r="K59" s="192"/>
      <c r="L59" s="18"/>
      <c r="M59" s="18"/>
      <c r="N59" s="232"/>
      <c r="O59" s="18"/>
      <c r="P59" s="236"/>
      <c r="R59" s="306"/>
      <c r="T59" s="290"/>
      <c r="U59" s="293"/>
      <c r="V59" s="293"/>
      <c r="W59" s="290"/>
      <c r="X59" s="290"/>
      <c r="Y59" s="284"/>
      <c r="Z59" s="284"/>
      <c r="AA59" s="284"/>
      <c r="AB59" s="284"/>
      <c r="AC59" s="284"/>
      <c r="AD59" s="284"/>
      <c r="AE59" s="284"/>
      <c r="AF59" s="284"/>
      <c r="AG59" s="284"/>
    </row>
    <row r="60" spans="1:38" ht="7.5" customHeight="1" x14ac:dyDescent="0.25">
      <c r="A60" s="229">
        <v>86</v>
      </c>
      <c r="B60" s="194">
        <v>88</v>
      </c>
      <c r="C60" s="195">
        <f>VLOOKUP(A60,tDatos[],IF(UTCElegido="",3,12),0)</f>
        <v>46206</v>
      </c>
      <c r="D60" s="197">
        <f>VLOOKUP(A60,tDatos[],IF(UTCElegido="",4,12),0)</f>
        <v>0.58333333333575865</v>
      </c>
      <c r="E60" s="27" t="str">
        <f>IF(F60="","vacía",SUBSTITUTE(F60," ","_"))</f>
        <v>AUSTRALIA</v>
      </c>
      <c r="F60" s="198" t="str">
        <f>IF($AL$8=144,VLOOKUP(A60,tDatos[],5,0),"")</f>
        <v>AUSTRALIA</v>
      </c>
      <c r="G60" s="192" t="str">
        <f>IF(AND(I60&lt;&gt;"",K60&lt;&gt;""),IF(I60=K60,"E",IF(I60&gt;K60,"G","P")),"")</f>
        <v>P</v>
      </c>
      <c r="H60" s="20"/>
      <c r="I60" s="190">
        <v>3</v>
      </c>
      <c r="J60" s="192" t="s">
        <v>0</v>
      </c>
      <c r="K60" s="190">
        <v>5</v>
      </c>
      <c r="L60" s="192" t="str">
        <f>IF(AND(K60&lt;&gt;"",I60&lt;&gt;""),IF(K60=I60,"E",IF(K60&gt;I60,"G","P")),"")</f>
        <v>G</v>
      </c>
      <c r="M60" s="19"/>
      <c r="N60" s="193" t="str">
        <f>IF($AL$8=144,VLOOKUP(A60,tDatos[],6,0),"")</f>
        <v>EGIPTO</v>
      </c>
      <c r="O60" s="27" t="str">
        <f>IF(N60="","vacía",SUBSTITUTE(N60," ","_"))</f>
        <v>EGIPTO</v>
      </c>
      <c r="P60" s="218" t="str">
        <f>VLOOKUP(A60,tDatos[],9,0)</f>
        <v>Dallas</v>
      </c>
      <c r="R60" s="304" t="str">
        <f>IF(G60="","",IF(G60="E","Suma los penales",IF(G60="G",F60,N60)))</f>
        <v>EGIPTO</v>
      </c>
      <c r="T60" s="288">
        <v>11</v>
      </c>
      <c r="U60" s="291" t="str">
        <f>VLOOKUP(T60,$Z$10:$AA$69,2,0)</f>
        <v>ESCOCIA</v>
      </c>
      <c r="V60" s="291">
        <f>VLOOKUP(T60,$Z$10:$AB$69,3,0)</f>
        <v>3</v>
      </c>
      <c r="W60" s="288">
        <f>VLOOKUP(T60,$Z$10:$AC$69,4,0)</f>
        <v>-3</v>
      </c>
      <c r="X60" s="288">
        <f>VLOOKUP(T60,$Z$10:$AD$69,5,0)</f>
        <v>1</v>
      </c>
      <c r="Y60" s="284" t="str">
        <f>VLOOKUP(T60,$Z$10:$AF$69,7,0)</f>
        <v>C</v>
      </c>
      <c r="Z60" s="284">
        <f>RANK(AE60,$AE$10:$AE$69)</f>
        <v>1</v>
      </c>
      <c r="AA60" s="284" t="str">
        <f>IF($AL$8=144,TerceroK,"")</f>
        <v>REP. del CONGO</v>
      </c>
      <c r="AB60" s="284">
        <f>K!$AC$20</f>
        <v>4</v>
      </c>
      <c r="AC60" s="284">
        <f>K!$AB$20</f>
        <v>1</v>
      </c>
      <c r="AD60" s="284">
        <f>K!$Z$20</f>
        <v>4</v>
      </c>
      <c r="AE60" s="284">
        <f>AB60*10000+AC60*1000+AD60*100+1+_xlfn.IFNA(VLOOKUP(AA60,$AJ$11:$AL$68,3,0)-1,0)</f>
        <v>41401</v>
      </c>
      <c r="AF60" s="284" t="s">
        <v>436</v>
      </c>
      <c r="AG60" s="284">
        <f>V60*100+W60*10+X60</f>
        <v>271</v>
      </c>
    </row>
    <row r="61" spans="1:38" ht="7.5" customHeight="1" thickBot="1" x14ac:dyDescent="0.3">
      <c r="A61" s="229"/>
      <c r="B61" s="194"/>
      <c r="C61" s="196"/>
      <c r="D61" s="196"/>
      <c r="E61" s="18"/>
      <c r="F61" s="198"/>
      <c r="G61" s="192"/>
      <c r="H61" s="20"/>
      <c r="I61" s="191"/>
      <c r="J61" s="192"/>
      <c r="K61" s="191"/>
      <c r="L61" s="192"/>
      <c r="M61" s="19"/>
      <c r="N61" s="193"/>
      <c r="O61" s="18"/>
      <c r="P61" s="218"/>
      <c r="R61" s="305"/>
      <c r="T61" s="289"/>
      <c r="U61" s="292"/>
      <c r="V61" s="292"/>
      <c r="W61" s="289"/>
      <c r="X61" s="289"/>
      <c r="Y61" s="284"/>
      <c r="Z61" s="284"/>
      <c r="AA61" s="284"/>
      <c r="AB61" s="284"/>
      <c r="AC61" s="284"/>
      <c r="AD61" s="284"/>
      <c r="AE61" s="284"/>
      <c r="AF61" s="284"/>
      <c r="AG61" s="284"/>
      <c r="AI61" s="283" t="str">
        <f>IF(AND($AL$8=144,COUNTIF($AG$10:$AG$69,AG60)&gt;1),"! ","")</f>
        <v/>
      </c>
      <c r="AJ61" s="311"/>
      <c r="AL61" s="263">
        <v>0.2</v>
      </c>
    </row>
    <row r="62" spans="1:38" ht="7.5" customHeight="1" x14ac:dyDescent="0.25">
      <c r="A62" s="185"/>
      <c r="B62" s="17"/>
      <c r="C62" s="301"/>
      <c r="D62" s="303"/>
      <c r="E62" s="18"/>
      <c r="F62" s="232"/>
      <c r="G62" s="18"/>
      <c r="H62" s="18"/>
      <c r="I62" s="307"/>
      <c r="J62" s="192"/>
      <c r="K62" s="307"/>
      <c r="L62" s="18"/>
      <c r="M62" s="18"/>
      <c r="N62" s="232"/>
      <c r="O62" s="18"/>
      <c r="P62" s="236"/>
      <c r="R62" s="306"/>
      <c r="T62" s="289"/>
      <c r="U62" s="292"/>
      <c r="V62" s="292"/>
      <c r="W62" s="289"/>
      <c r="X62" s="289"/>
      <c r="Y62" s="284"/>
      <c r="Z62" s="284"/>
      <c r="AA62" s="284"/>
      <c r="AB62" s="284"/>
      <c r="AC62" s="284"/>
      <c r="AD62" s="284"/>
      <c r="AE62" s="284"/>
      <c r="AF62" s="284"/>
      <c r="AG62" s="284"/>
      <c r="AI62" s="283"/>
      <c r="AJ62" s="312"/>
      <c r="AL62" s="263"/>
    </row>
    <row r="63" spans="1:38" ht="7.5" customHeight="1" thickBot="1" x14ac:dyDescent="0.3">
      <c r="A63" s="185"/>
      <c r="B63" s="17"/>
      <c r="C63" s="301"/>
      <c r="D63" s="303"/>
      <c r="E63" s="18"/>
      <c r="F63" s="232"/>
      <c r="G63" s="18"/>
      <c r="H63" s="18"/>
      <c r="I63" s="308"/>
      <c r="J63" s="192"/>
      <c r="K63" s="308"/>
      <c r="L63" s="18"/>
      <c r="M63" s="18"/>
      <c r="N63" s="232"/>
      <c r="O63" s="18"/>
      <c r="P63" s="236"/>
      <c r="R63" s="306"/>
      <c r="T63" s="289"/>
      <c r="U63" s="292"/>
      <c r="V63" s="292"/>
      <c r="W63" s="289"/>
      <c r="X63" s="289"/>
      <c r="Y63" s="284"/>
      <c r="Z63" s="284"/>
      <c r="AA63" s="284"/>
      <c r="AB63" s="284"/>
      <c r="AC63" s="284"/>
      <c r="AD63" s="284"/>
      <c r="AE63" s="284"/>
      <c r="AF63" s="284"/>
      <c r="AG63" s="284"/>
      <c r="AI63" s="283"/>
      <c r="AJ63" s="313"/>
      <c r="AL63" s="263"/>
    </row>
    <row r="64" spans="1:38" ht="7.5" customHeight="1" x14ac:dyDescent="0.25">
      <c r="A64" s="229">
        <v>87</v>
      </c>
      <c r="B64" s="194">
        <v>86</v>
      </c>
      <c r="C64" s="195">
        <f>VLOOKUP(A64,tDatos[],IF(UTCElegido="",3,12),0)</f>
        <v>46206</v>
      </c>
      <c r="D64" s="197">
        <f>VLOOKUP(A64,tDatos[],IF(UTCElegido="",4,12),0)</f>
        <v>0.75</v>
      </c>
      <c r="E64" s="27" t="str">
        <f>IF(F64="","vacía",SUBSTITUTE(F64," ","_"))</f>
        <v>ARGENTINA</v>
      </c>
      <c r="F64" s="198" t="str">
        <f>IF($AL$8=144,VLOOKUP(A64,tDatos[],5,0),"")</f>
        <v>ARGENTINA</v>
      </c>
      <c r="G64" s="192" t="str">
        <f>IF(AND(I64&lt;&gt;"",K64&lt;&gt;""),IF(I64=K64,"E",IF(I64&gt;K64,"G","P")),"")</f>
        <v>G</v>
      </c>
      <c r="H64" s="20"/>
      <c r="I64" s="190">
        <v>3</v>
      </c>
      <c r="J64" s="192" t="s">
        <v>0</v>
      </c>
      <c r="K64" s="190">
        <v>2</v>
      </c>
      <c r="L64" s="192" t="str">
        <f>IF(AND(K64&lt;&gt;"",I64&lt;&gt;""),IF(K64=I64,"E",IF(K64&gt;I64,"G","P")),"")</f>
        <v>P</v>
      </c>
      <c r="M64" s="19"/>
      <c r="N64" s="193" t="str">
        <f>IF($AL$8=144,VLOOKUP(A64,tDatos[],6,0),"")</f>
        <v>CABO VERDE</v>
      </c>
      <c r="O64" s="27" t="str">
        <f>IF(N64="","vacía",SUBSTITUTE(N64," ","_"))</f>
        <v>CABO_VERDE</v>
      </c>
      <c r="P64" s="218" t="str">
        <f>VLOOKUP(A64,tDatos[],9,0)</f>
        <v>Miami</v>
      </c>
      <c r="R64" s="304" t="str">
        <f>IF(G64="","",IF(G64="E","Suma los penales",IF(G64="G",F64,N64)))</f>
        <v>ARGENTINA</v>
      </c>
      <c r="T64" s="290"/>
      <c r="U64" s="293"/>
      <c r="V64" s="293"/>
      <c r="W64" s="290"/>
      <c r="X64" s="290"/>
      <c r="Y64" s="284"/>
      <c r="Z64" s="284"/>
      <c r="AA64" s="284"/>
      <c r="AB64" s="284"/>
      <c r="AC64" s="284"/>
      <c r="AD64" s="284"/>
      <c r="AE64" s="284"/>
      <c r="AF64" s="284"/>
      <c r="AG64" s="284"/>
    </row>
    <row r="65" spans="1:38" ht="7.5" customHeight="1" thickBot="1" x14ac:dyDescent="0.3">
      <c r="A65" s="229"/>
      <c r="B65" s="194"/>
      <c r="C65" s="196"/>
      <c r="D65" s="196"/>
      <c r="E65" s="18"/>
      <c r="F65" s="198"/>
      <c r="G65" s="192"/>
      <c r="H65" s="20"/>
      <c r="I65" s="191"/>
      <c r="J65" s="192"/>
      <c r="K65" s="191"/>
      <c r="L65" s="192"/>
      <c r="M65" s="19"/>
      <c r="N65" s="193"/>
      <c r="O65" s="18"/>
      <c r="P65" s="218"/>
      <c r="R65" s="305"/>
      <c r="T65" s="288">
        <v>12</v>
      </c>
      <c r="U65" s="291" t="str">
        <f>VLOOKUP(T65,$Z$10:$AA$69,2,0)</f>
        <v>URUGUAY</v>
      </c>
      <c r="V65" s="291">
        <f>VLOOKUP(T65,$Z$10:$AB$69,3,0)</f>
        <v>2</v>
      </c>
      <c r="W65" s="288">
        <f>VLOOKUP(T65,$Z$10:$AC$69,4,0)</f>
        <v>-1</v>
      </c>
      <c r="X65" s="288">
        <f>VLOOKUP(T65,$Z$10:$AD$69,5,0)</f>
        <v>3</v>
      </c>
      <c r="Y65" s="284" t="str">
        <f>VLOOKUP(T65,$Z$10:$AF$69,7,0)</f>
        <v>H</v>
      </c>
      <c r="Z65" s="284">
        <f>RANK(AE65,$AE$10:$AE$69)</f>
        <v>3</v>
      </c>
      <c r="AA65" s="284" t="str">
        <f>IF($AL$8=144,TerceroL,"")</f>
        <v>GHANA</v>
      </c>
      <c r="AB65" s="284">
        <f>L!$AC$20</f>
        <v>4</v>
      </c>
      <c r="AC65" s="284">
        <f>L!$AB$20</f>
        <v>0</v>
      </c>
      <c r="AD65" s="284">
        <f>L!$Z$20</f>
        <v>2</v>
      </c>
      <c r="AE65" s="284">
        <f>AB65*10000+AC65*1000+AD65*100+_xlfn.IFNA(VLOOKUP(AA65,$AJ$11:$AL$68,3,0),0)</f>
        <v>40201</v>
      </c>
      <c r="AF65" s="284" t="s">
        <v>437</v>
      </c>
      <c r="AG65" s="284">
        <f>V65*100+W65*10+X65</f>
        <v>193</v>
      </c>
    </row>
    <row r="66" spans="1:38" ht="7.5" customHeight="1" x14ac:dyDescent="0.25">
      <c r="A66" s="185"/>
      <c r="B66" s="17"/>
      <c r="C66" s="301"/>
      <c r="D66" s="303"/>
      <c r="E66" s="18"/>
      <c r="F66" s="232"/>
      <c r="G66" s="18"/>
      <c r="H66" s="18"/>
      <c r="I66" s="192"/>
      <c r="J66" s="192"/>
      <c r="K66" s="192"/>
      <c r="L66" s="18"/>
      <c r="M66" s="18"/>
      <c r="N66" s="232"/>
      <c r="O66" s="18"/>
      <c r="P66" s="236"/>
      <c r="R66" s="306"/>
      <c r="T66" s="289"/>
      <c r="U66" s="292"/>
      <c r="V66" s="292"/>
      <c r="W66" s="289"/>
      <c r="X66" s="289"/>
      <c r="Y66" s="284"/>
      <c r="Z66" s="284"/>
      <c r="AA66" s="284"/>
      <c r="AB66" s="284"/>
      <c r="AC66" s="284"/>
      <c r="AD66" s="284"/>
      <c r="AE66" s="284"/>
      <c r="AF66" s="284"/>
      <c r="AG66" s="284"/>
      <c r="AI66" s="283" t="str">
        <f>IF(AND($AL$8=144,COUNTIF($AG$10:$AG$69,AG65)&gt;1),"! ","")</f>
        <v/>
      </c>
      <c r="AJ66" s="311"/>
      <c r="AL66" s="263">
        <v>0.1</v>
      </c>
    </row>
    <row r="67" spans="1:38" ht="7.5" customHeight="1" thickBot="1" x14ac:dyDescent="0.3">
      <c r="A67" s="185"/>
      <c r="B67" s="17"/>
      <c r="C67" s="301"/>
      <c r="D67" s="303"/>
      <c r="E67" s="18"/>
      <c r="F67" s="232"/>
      <c r="G67" s="18"/>
      <c r="H67" s="18"/>
      <c r="I67" s="192"/>
      <c r="J67" s="192"/>
      <c r="K67" s="192"/>
      <c r="L67" s="18"/>
      <c r="M67" s="18"/>
      <c r="N67" s="232"/>
      <c r="O67" s="18"/>
      <c r="P67" s="236"/>
      <c r="R67" s="306"/>
      <c r="T67" s="289"/>
      <c r="U67" s="292"/>
      <c r="V67" s="292"/>
      <c r="W67" s="289"/>
      <c r="X67" s="289"/>
      <c r="Y67" s="284"/>
      <c r="Z67" s="284"/>
      <c r="AA67" s="284"/>
      <c r="AB67" s="284"/>
      <c r="AC67" s="284"/>
      <c r="AD67" s="284"/>
      <c r="AE67" s="284"/>
      <c r="AF67" s="284"/>
      <c r="AG67" s="284"/>
      <c r="AI67" s="283"/>
      <c r="AJ67" s="312"/>
      <c r="AL67" s="263"/>
    </row>
    <row r="68" spans="1:38" ht="7.5" customHeight="1" x14ac:dyDescent="0.25">
      <c r="A68" s="229">
        <v>88</v>
      </c>
      <c r="B68" s="194">
        <v>87</v>
      </c>
      <c r="C68" s="195">
        <f>VLOOKUP(A68,tDatos[],IF(UTCElegido="",3,12),0)</f>
        <v>46206</v>
      </c>
      <c r="D68" s="197">
        <f>VLOOKUP(A68,tDatos[],IF(UTCElegido="",4,12),0)</f>
        <v>0.89583333333575865</v>
      </c>
      <c r="E68" s="27" t="str">
        <f>IF(F68="","vacía",SUBSTITUTE(F68," ","_"))</f>
        <v>COLOMBIA</v>
      </c>
      <c r="F68" s="198" t="str">
        <f>IF($AL$8=144,VLOOKUP(A68,tDatos[],5,0),"")</f>
        <v>COLOMBIA</v>
      </c>
      <c r="G68" s="192" t="str">
        <f>IF(AND(I68&lt;&gt;"",K68&lt;&gt;""),IF(I68=K68,"E",IF(I68&gt;K68,"G","P")),"")</f>
        <v>G</v>
      </c>
      <c r="H68" s="20"/>
      <c r="I68" s="190">
        <v>1</v>
      </c>
      <c r="J68" s="192" t="s">
        <v>0</v>
      </c>
      <c r="K68" s="190">
        <v>0</v>
      </c>
      <c r="L68" s="192" t="str">
        <f>IF(AND(K68&lt;&gt;"",I68&lt;&gt;""),IF(K68=I68,"E",IF(K68&gt;I68,"G","P")),"")</f>
        <v>P</v>
      </c>
      <c r="M68" s="19"/>
      <c r="N68" s="193" t="str">
        <f>IF($AL$8=144,VLOOKUP(A68,tDatos[],6,0),"")</f>
        <v>GHANA</v>
      </c>
      <c r="O68" s="27" t="str">
        <f>IF(N68="","vacía",SUBSTITUTE(N68," ","_"))</f>
        <v>GHANA</v>
      </c>
      <c r="P68" s="218" t="str">
        <f>VLOOKUP(A68,tDatos[],9,0)</f>
        <v>Kansas City</v>
      </c>
      <c r="R68" s="304" t="str">
        <f>IF(G68="","",IF(G68="E","Suma los penales",IF(G68="G",F68,N68)))</f>
        <v>COLOMBIA</v>
      </c>
      <c r="T68" s="289"/>
      <c r="U68" s="292"/>
      <c r="V68" s="292"/>
      <c r="W68" s="289"/>
      <c r="X68" s="289"/>
      <c r="Y68" s="284"/>
      <c r="Z68" s="284"/>
      <c r="AA68" s="284"/>
      <c r="AB68" s="284"/>
      <c r="AC68" s="284"/>
      <c r="AD68" s="284"/>
      <c r="AE68" s="284"/>
      <c r="AF68" s="284"/>
      <c r="AG68" s="284"/>
      <c r="AI68" s="283"/>
      <c r="AJ68" s="313"/>
      <c r="AL68" s="263"/>
    </row>
    <row r="69" spans="1:38" ht="7.5" customHeight="1" thickBot="1" x14ac:dyDescent="0.3">
      <c r="A69" s="229"/>
      <c r="B69" s="194"/>
      <c r="C69" s="196"/>
      <c r="D69" s="196"/>
      <c r="E69" s="18"/>
      <c r="F69" s="198"/>
      <c r="G69" s="192"/>
      <c r="H69" s="20"/>
      <c r="I69" s="191"/>
      <c r="J69" s="192"/>
      <c r="K69" s="191"/>
      <c r="L69" s="192"/>
      <c r="M69" s="19"/>
      <c r="N69" s="193"/>
      <c r="O69" s="18"/>
      <c r="P69" s="218"/>
      <c r="R69" s="305"/>
      <c r="T69" s="290"/>
      <c r="U69" s="293"/>
      <c r="V69" s="293"/>
      <c r="W69" s="290"/>
      <c r="X69" s="290"/>
      <c r="Y69" s="284"/>
      <c r="Z69" s="284"/>
      <c r="AA69" s="284"/>
      <c r="AB69" s="284"/>
      <c r="AC69" s="284"/>
      <c r="AD69" s="284"/>
      <c r="AE69" s="284"/>
      <c r="AF69" s="284"/>
      <c r="AG69" s="284"/>
    </row>
    <row r="70" spans="1:38" ht="3.95" customHeight="1" x14ac:dyDescent="0.25">
      <c r="A70" s="185"/>
      <c r="B70" s="21"/>
      <c r="C70" s="22"/>
      <c r="D70" s="23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1"/>
    </row>
  </sheetData>
  <sheetProtection sheet="1" objects="1" scenarios="1"/>
  <mergeCells count="570">
    <mergeCell ref="B8:B9"/>
    <mergeCell ref="B12:B13"/>
    <mergeCell ref="B16:B17"/>
    <mergeCell ref="B20:B21"/>
    <mergeCell ref="B24:B25"/>
    <mergeCell ref="B28:B29"/>
    <mergeCell ref="B32:B33"/>
    <mergeCell ref="B36:B37"/>
    <mergeCell ref="B40:B41"/>
    <mergeCell ref="D38:D39"/>
    <mergeCell ref="C38:C39"/>
    <mergeCell ref="B44:B45"/>
    <mergeCell ref="B48:B49"/>
    <mergeCell ref="B52:B53"/>
    <mergeCell ref="B56:B57"/>
    <mergeCell ref="B60:B61"/>
    <mergeCell ref="K40:K41"/>
    <mergeCell ref="J40:J41"/>
    <mergeCell ref="I40:I41"/>
    <mergeCell ref="G40:G41"/>
    <mergeCell ref="F40:F41"/>
    <mergeCell ref="D48:D49"/>
    <mergeCell ref="C48:C49"/>
    <mergeCell ref="D52:D53"/>
    <mergeCell ref="C52:C53"/>
    <mergeCell ref="D56:D57"/>
    <mergeCell ref="C56:C57"/>
    <mergeCell ref="D60:D61"/>
    <mergeCell ref="C60:C61"/>
    <mergeCell ref="A10:A11"/>
    <mergeCell ref="A14:A15"/>
    <mergeCell ref="AJ36:AJ38"/>
    <mergeCell ref="AJ41:AJ43"/>
    <mergeCell ref="AJ46:AJ48"/>
    <mergeCell ref="AJ51:AJ53"/>
    <mergeCell ref="AJ56:AJ58"/>
    <mergeCell ref="AJ61:AJ63"/>
    <mergeCell ref="AJ66:AJ68"/>
    <mergeCell ref="AJ16:AJ18"/>
    <mergeCell ref="D40:D41"/>
    <mergeCell ref="C40:C41"/>
    <mergeCell ref="A40:A41"/>
    <mergeCell ref="I38:I39"/>
    <mergeCell ref="J38:J39"/>
    <mergeCell ref="K38:K39"/>
    <mergeCell ref="N38:N39"/>
    <mergeCell ref="F38:F39"/>
    <mergeCell ref="R40:R41"/>
    <mergeCell ref="P40:P41"/>
    <mergeCell ref="N40:N41"/>
    <mergeCell ref="L40:L41"/>
    <mergeCell ref="R38:R39"/>
    <mergeCell ref="P38:P39"/>
    <mergeCell ref="AL11:AL13"/>
    <mergeCell ref="AL16:AL18"/>
    <mergeCell ref="AL21:AL23"/>
    <mergeCell ref="AL26:AL28"/>
    <mergeCell ref="AL31:AL33"/>
    <mergeCell ref="AL36:AL38"/>
    <mergeCell ref="AL41:AL43"/>
    <mergeCell ref="AL46:AL48"/>
    <mergeCell ref="AL51:AL53"/>
    <mergeCell ref="AL56:AL58"/>
    <mergeCell ref="AL61:AL63"/>
    <mergeCell ref="AL66:AL68"/>
    <mergeCell ref="T2:X3"/>
    <mergeCell ref="T4:X5"/>
    <mergeCell ref="AJ11:AJ13"/>
    <mergeCell ref="AJ21:AJ23"/>
    <mergeCell ref="AJ26:AJ28"/>
    <mergeCell ref="AJ31:AJ33"/>
    <mergeCell ref="AE10:AE14"/>
    <mergeCell ref="AB15:AB19"/>
    <mergeCell ref="AC15:AC19"/>
    <mergeCell ref="AD15:AD19"/>
    <mergeCell ref="AE15:AE19"/>
    <mergeCell ref="AA20:AA24"/>
    <mergeCell ref="AB20:AB24"/>
    <mergeCell ref="AC20:AC24"/>
    <mergeCell ref="AD20:AD24"/>
    <mergeCell ref="AE20:AE24"/>
    <mergeCell ref="T15:T19"/>
    <mergeCell ref="U15:U19"/>
    <mergeCell ref="V15:V19"/>
    <mergeCell ref="W15:W19"/>
    <mergeCell ref="X15:X19"/>
    <mergeCell ref="L20:L21"/>
    <mergeCell ref="D44:D45"/>
    <mergeCell ref="C44:C45"/>
    <mergeCell ref="A44:A45"/>
    <mergeCell ref="R42:R43"/>
    <mergeCell ref="P42:P43"/>
    <mergeCell ref="N42:N43"/>
    <mergeCell ref="K42:K43"/>
    <mergeCell ref="J42:J43"/>
    <mergeCell ref="I42:I43"/>
    <mergeCell ref="F42:F43"/>
    <mergeCell ref="D42:D43"/>
    <mergeCell ref="C42:C43"/>
    <mergeCell ref="R44:R45"/>
    <mergeCell ref="P44:P45"/>
    <mergeCell ref="N44:N45"/>
    <mergeCell ref="L44:L45"/>
    <mergeCell ref="K44:K45"/>
    <mergeCell ref="J44:J45"/>
    <mergeCell ref="I44:I45"/>
    <mergeCell ref="G44:G45"/>
    <mergeCell ref="F44:F45"/>
    <mergeCell ref="F30:F31"/>
    <mergeCell ref="I30:I31"/>
    <mergeCell ref="A48:A49"/>
    <mergeCell ref="R46:R47"/>
    <mergeCell ref="P46:P47"/>
    <mergeCell ref="N46:N47"/>
    <mergeCell ref="K46:K47"/>
    <mergeCell ref="J46:J47"/>
    <mergeCell ref="I46:I47"/>
    <mergeCell ref="F46:F47"/>
    <mergeCell ref="D46:D47"/>
    <mergeCell ref="C46:C47"/>
    <mergeCell ref="R48:R49"/>
    <mergeCell ref="P48:P49"/>
    <mergeCell ref="N48:N49"/>
    <mergeCell ref="L48:L49"/>
    <mergeCell ref="K48:K49"/>
    <mergeCell ref="J48:J49"/>
    <mergeCell ref="I48:I49"/>
    <mergeCell ref="G48:G49"/>
    <mergeCell ref="F48:F49"/>
    <mergeCell ref="A52:A53"/>
    <mergeCell ref="R50:R51"/>
    <mergeCell ref="P50:P51"/>
    <mergeCell ref="N50:N51"/>
    <mergeCell ref="K50:K51"/>
    <mergeCell ref="J50:J51"/>
    <mergeCell ref="I50:I51"/>
    <mergeCell ref="F50:F51"/>
    <mergeCell ref="D50:D51"/>
    <mergeCell ref="C50:C51"/>
    <mergeCell ref="R52:R53"/>
    <mergeCell ref="P52:P53"/>
    <mergeCell ref="N52:N53"/>
    <mergeCell ref="L52:L53"/>
    <mergeCell ref="K52:K53"/>
    <mergeCell ref="J52:J53"/>
    <mergeCell ref="I52:I53"/>
    <mergeCell ref="G52:G53"/>
    <mergeCell ref="F52:F53"/>
    <mergeCell ref="A56:A57"/>
    <mergeCell ref="R54:R55"/>
    <mergeCell ref="P54:P55"/>
    <mergeCell ref="N54:N55"/>
    <mergeCell ref="K54:K55"/>
    <mergeCell ref="J54:J55"/>
    <mergeCell ref="I54:I55"/>
    <mergeCell ref="F54:F55"/>
    <mergeCell ref="D54:D55"/>
    <mergeCell ref="C54:C55"/>
    <mergeCell ref="R56:R57"/>
    <mergeCell ref="P56:P57"/>
    <mergeCell ref="N56:N57"/>
    <mergeCell ref="L56:L57"/>
    <mergeCell ref="K56:K57"/>
    <mergeCell ref="J56:J57"/>
    <mergeCell ref="I56:I57"/>
    <mergeCell ref="G56:G57"/>
    <mergeCell ref="F56:F57"/>
    <mergeCell ref="A60:A61"/>
    <mergeCell ref="R58:R59"/>
    <mergeCell ref="P58:P59"/>
    <mergeCell ref="N58:N59"/>
    <mergeCell ref="K58:K59"/>
    <mergeCell ref="J58:J59"/>
    <mergeCell ref="I58:I59"/>
    <mergeCell ref="F58:F59"/>
    <mergeCell ref="D58:D59"/>
    <mergeCell ref="C58:C59"/>
    <mergeCell ref="R60:R61"/>
    <mergeCell ref="P60:P61"/>
    <mergeCell ref="N60:N61"/>
    <mergeCell ref="L60:L61"/>
    <mergeCell ref="K60:K61"/>
    <mergeCell ref="J60:J61"/>
    <mergeCell ref="I60:I61"/>
    <mergeCell ref="G60:G61"/>
    <mergeCell ref="F60:F61"/>
    <mergeCell ref="D64:D65"/>
    <mergeCell ref="C64:C65"/>
    <mergeCell ref="A64:A65"/>
    <mergeCell ref="R62:R63"/>
    <mergeCell ref="P62:P63"/>
    <mergeCell ref="N62:N63"/>
    <mergeCell ref="K62:K63"/>
    <mergeCell ref="J62:J63"/>
    <mergeCell ref="I62:I63"/>
    <mergeCell ref="F62:F63"/>
    <mergeCell ref="D62:D63"/>
    <mergeCell ref="C62:C63"/>
    <mergeCell ref="R64:R65"/>
    <mergeCell ref="P64:P65"/>
    <mergeCell ref="N64:N65"/>
    <mergeCell ref="L64:L65"/>
    <mergeCell ref="K64:K65"/>
    <mergeCell ref="J64:J65"/>
    <mergeCell ref="I64:I65"/>
    <mergeCell ref="G64:G65"/>
    <mergeCell ref="F64:F65"/>
    <mergeCell ref="B64:B65"/>
    <mergeCell ref="D68:D69"/>
    <mergeCell ref="C68:C69"/>
    <mergeCell ref="A68:A69"/>
    <mergeCell ref="R66:R67"/>
    <mergeCell ref="P66:P67"/>
    <mergeCell ref="N66:N67"/>
    <mergeCell ref="K66:K67"/>
    <mergeCell ref="J66:J67"/>
    <mergeCell ref="I66:I67"/>
    <mergeCell ref="F66:F67"/>
    <mergeCell ref="D66:D67"/>
    <mergeCell ref="C66:C67"/>
    <mergeCell ref="R68:R69"/>
    <mergeCell ref="P68:P69"/>
    <mergeCell ref="N68:N69"/>
    <mergeCell ref="L68:L69"/>
    <mergeCell ref="K68:K69"/>
    <mergeCell ref="J68:J69"/>
    <mergeCell ref="I68:I69"/>
    <mergeCell ref="G68:G69"/>
    <mergeCell ref="F68:F69"/>
    <mergeCell ref="B68:B69"/>
    <mergeCell ref="J30:J31"/>
    <mergeCell ref="K30:K31"/>
    <mergeCell ref="N30:N31"/>
    <mergeCell ref="P30:P31"/>
    <mergeCell ref="G28:G29"/>
    <mergeCell ref="I28:I29"/>
    <mergeCell ref="J28:J29"/>
    <mergeCell ref="K28:K29"/>
    <mergeCell ref="P32:P33"/>
    <mergeCell ref="P28:P29"/>
    <mergeCell ref="R34:R35"/>
    <mergeCell ref="R36:R37"/>
    <mergeCell ref="R28:R29"/>
    <mergeCell ref="N32:N33"/>
    <mergeCell ref="N34:N35"/>
    <mergeCell ref="R32:R33"/>
    <mergeCell ref="R14:R15"/>
    <mergeCell ref="R16:R17"/>
    <mergeCell ref="R18:R19"/>
    <mergeCell ref="R30:R31"/>
    <mergeCell ref="R20:R21"/>
    <mergeCell ref="R22:R23"/>
    <mergeCell ref="R24:R25"/>
    <mergeCell ref="R26:R27"/>
    <mergeCell ref="N18:N19"/>
    <mergeCell ref="P18:P19"/>
    <mergeCell ref="N22:N23"/>
    <mergeCell ref="N20:N21"/>
    <mergeCell ref="P20:P21"/>
    <mergeCell ref="P22:P23"/>
    <mergeCell ref="N28:N29"/>
    <mergeCell ref="N24:N25"/>
    <mergeCell ref="P24:P25"/>
    <mergeCell ref="P16:P17"/>
    <mergeCell ref="I34:I35"/>
    <mergeCell ref="J34:J35"/>
    <mergeCell ref="N26:N27"/>
    <mergeCell ref="P26:P27"/>
    <mergeCell ref="L36:L37"/>
    <mergeCell ref="D32:D33"/>
    <mergeCell ref="F32:F33"/>
    <mergeCell ref="G32:G33"/>
    <mergeCell ref="I32:I33"/>
    <mergeCell ref="J32:J33"/>
    <mergeCell ref="K32:K33"/>
    <mergeCell ref="L32:L33"/>
    <mergeCell ref="D34:D35"/>
    <mergeCell ref="F34:F35"/>
    <mergeCell ref="D36:D37"/>
    <mergeCell ref="F36:F37"/>
    <mergeCell ref="G36:G37"/>
    <mergeCell ref="I36:I37"/>
    <mergeCell ref="J36:J37"/>
    <mergeCell ref="K36:K37"/>
    <mergeCell ref="K34:K35"/>
    <mergeCell ref="N36:N37"/>
    <mergeCell ref="P36:P37"/>
    <mergeCell ref="P34:P35"/>
    <mergeCell ref="L24:L25"/>
    <mergeCell ref="D26:D27"/>
    <mergeCell ref="F26:F27"/>
    <mergeCell ref="I26:I27"/>
    <mergeCell ref="J26:J27"/>
    <mergeCell ref="L28:L29"/>
    <mergeCell ref="K26:K27"/>
    <mergeCell ref="D28:D29"/>
    <mergeCell ref="F28:F29"/>
    <mergeCell ref="F24:F25"/>
    <mergeCell ref="I16:I17"/>
    <mergeCell ref="J16:J17"/>
    <mergeCell ref="K16:K17"/>
    <mergeCell ref="D24:D25"/>
    <mergeCell ref="G24:G25"/>
    <mergeCell ref="I24:I25"/>
    <mergeCell ref="J24:J25"/>
    <mergeCell ref="K24:K25"/>
    <mergeCell ref="F22:F23"/>
    <mergeCell ref="I22:I23"/>
    <mergeCell ref="J22:J23"/>
    <mergeCell ref="K22:K23"/>
    <mergeCell ref="D20:D21"/>
    <mergeCell ref="G20:G21"/>
    <mergeCell ref="I20:I21"/>
    <mergeCell ref="J20:J21"/>
    <mergeCell ref="K20:K21"/>
    <mergeCell ref="F20:F21"/>
    <mergeCell ref="D16:D17"/>
    <mergeCell ref="R8:R9"/>
    <mergeCell ref="R10:R11"/>
    <mergeCell ref="R12:R13"/>
    <mergeCell ref="P14:P15"/>
    <mergeCell ref="D10:D11"/>
    <mergeCell ref="F10:F11"/>
    <mergeCell ref="I10:I11"/>
    <mergeCell ref="J10:J11"/>
    <mergeCell ref="K10:K11"/>
    <mergeCell ref="N10:N11"/>
    <mergeCell ref="D14:D15"/>
    <mergeCell ref="N12:N13"/>
    <mergeCell ref="F14:F15"/>
    <mergeCell ref="I14:I15"/>
    <mergeCell ref="J14:J15"/>
    <mergeCell ref="K14:K15"/>
    <mergeCell ref="N14:N15"/>
    <mergeCell ref="D12:D13"/>
    <mergeCell ref="D8:D9"/>
    <mergeCell ref="F8:F9"/>
    <mergeCell ref="G8:G9"/>
    <mergeCell ref="K12:K13"/>
    <mergeCell ref="P10:P11"/>
    <mergeCell ref="L12:L13"/>
    <mergeCell ref="P8:P9"/>
    <mergeCell ref="A36:A37"/>
    <mergeCell ref="C36:C37"/>
    <mergeCell ref="C30:C31"/>
    <mergeCell ref="C18:C19"/>
    <mergeCell ref="A20:A21"/>
    <mergeCell ref="C20:C21"/>
    <mergeCell ref="C22:C23"/>
    <mergeCell ref="A24:A25"/>
    <mergeCell ref="C24:C25"/>
    <mergeCell ref="C26:C27"/>
    <mergeCell ref="D30:D31"/>
    <mergeCell ref="F12:F13"/>
    <mergeCell ref="G12:G13"/>
    <mergeCell ref="I12:I13"/>
    <mergeCell ref="J12:J13"/>
    <mergeCell ref="J8:J9"/>
    <mergeCell ref="K8:K9"/>
    <mergeCell ref="L8:L9"/>
    <mergeCell ref="P12:P13"/>
    <mergeCell ref="L16:L17"/>
    <mergeCell ref="N16:N17"/>
    <mergeCell ref="F16:F17"/>
    <mergeCell ref="G16:G17"/>
    <mergeCell ref="E6:O6"/>
    <mergeCell ref="A28:A29"/>
    <mergeCell ref="C28:C29"/>
    <mergeCell ref="A32:A33"/>
    <mergeCell ref="C32:C33"/>
    <mergeCell ref="C34:C35"/>
    <mergeCell ref="A8:A9"/>
    <mergeCell ref="C8:C9"/>
    <mergeCell ref="B10:B11"/>
    <mergeCell ref="C10:C11"/>
    <mergeCell ref="A12:A13"/>
    <mergeCell ref="C12:C13"/>
    <mergeCell ref="B14:B15"/>
    <mergeCell ref="C14:C15"/>
    <mergeCell ref="A16:A17"/>
    <mergeCell ref="C16:C17"/>
    <mergeCell ref="D18:D19"/>
    <mergeCell ref="F18:F19"/>
    <mergeCell ref="I18:I19"/>
    <mergeCell ref="J18:J19"/>
    <mergeCell ref="K18:K19"/>
    <mergeCell ref="N8:N9"/>
    <mergeCell ref="I8:I9"/>
    <mergeCell ref="D22:D23"/>
    <mergeCell ref="Z15:Z19"/>
    <mergeCell ref="AA15:AA19"/>
    <mergeCell ref="T20:T24"/>
    <mergeCell ref="U20:U24"/>
    <mergeCell ref="V20:V24"/>
    <mergeCell ref="W20:W24"/>
    <mergeCell ref="X20:X24"/>
    <mergeCell ref="Z20:Z24"/>
    <mergeCell ref="V10:V14"/>
    <mergeCell ref="W10:W14"/>
    <mergeCell ref="X10:X14"/>
    <mergeCell ref="Z10:Z14"/>
    <mergeCell ref="AA10:AA14"/>
    <mergeCell ref="AB10:AB14"/>
    <mergeCell ref="AC10:AC14"/>
    <mergeCell ref="AD10:AD14"/>
    <mergeCell ref="T8:T9"/>
    <mergeCell ref="U8:U9"/>
    <mergeCell ref="V8:V9"/>
    <mergeCell ref="W8:W9"/>
    <mergeCell ref="X8:X9"/>
    <mergeCell ref="AA8:AA9"/>
    <mergeCell ref="T10:T14"/>
    <mergeCell ref="U10:U14"/>
    <mergeCell ref="AB8:AB9"/>
    <mergeCell ref="AC8:AC9"/>
    <mergeCell ref="AD8:AD9"/>
    <mergeCell ref="AB35:AB39"/>
    <mergeCell ref="AC35:AC39"/>
    <mergeCell ref="AD25:AD29"/>
    <mergeCell ref="AE25:AE29"/>
    <mergeCell ref="T30:T34"/>
    <mergeCell ref="U30:U34"/>
    <mergeCell ref="V30:V34"/>
    <mergeCell ref="W30:W34"/>
    <mergeCell ref="X30:X34"/>
    <mergeCell ref="Z30:Z34"/>
    <mergeCell ref="AA30:AA34"/>
    <mergeCell ref="AB30:AB34"/>
    <mergeCell ref="AC30:AC34"/>
    <mergeCell ref="AD30:AD34"/>
    <mergeCell ref="AE30:AE34"/>
    <mergeCell ref="T25:T29"/>
    <mergeCell ref="U25:U29"/>
    <mergeCell ref="V25:V29"/>
    <mergeCell ref="W25:W29"/>
    <mergeCell ref="X25:X29"/>
    <mergeCell ref="Z25:Z29"/>
    <mergeCell ref="AA25:AA29"/>
    <mergeCell ref="AB25:AB29"/>
    <mergeCell ref="AC25:AC29"/>
    <mergeCell ref="AB45:AB49"/>
    <mergeCell ref="AC45:AC49"/>
    <mergeCell ref="AD35:AD39"/>
    <mergeCell ref="AE35:AE39"/>
    <mergeCell ref="T40:T44"/>
    <mergeCell ref="U40:U44"/>
    <mergeCell ref="V40:V44"/>
    <mergeCell ref="W40:W44"/>
    <mergeCell ref="X40:X44"/>
    <mergeCell ref="Z40:Z44"/>
    <mergeCell ref="AA40:AA44"/>
    <mergeCell ref="AB40:AB44"/>
    <mergeCell ref="AC40:AC44"/>
    <mergeCell ref="AD40:AD44"/>
    <mergeCell ref="AE40:AE44"/>
    <mergeCell ref="Y35:Y39"/>
    <mergeCell ref="Y40:Y44"/>
    <mergeCell ref="T35:T39"/>
    <mergeCell ref="U35:U39"/>
    <mergeCell ref="V35:V39"/>
    <mergeCell ref="W35:W39"/>
    <mergeCell ref="X35:X39"/>
    <mergeCell ref="Z35:Z39"/>
    <mergeCell ref="AA35:AA39"/>
    <mergeCell ref="AB55:AB59"/>
    <mergeCell ref="AC55:AC59"/>
    <mergeCell ref="AD45:AD49"/>
    <mergeCell ref="AE45:AE49"/>
    <mergeCell ref="T50:T54"/>
    <mergeCell ref="U50:U54"/>
    <mergeCell ref="V50:V54"/>
    <mergeCell ref="W50:W54"/>
    <mergeCell ref="X50:X54"/>
    <mergeCell ref="Z50:Z54"/>
    <mergeCell ref="AA50:AA54"/>
    <mergeCell ref="AB50:AB54"/>
    <mergeCell ref="AC50:AC54"/>
    <mergeCell ref="AD50:AD54"/>
    <mergeCell ref="AE50:AE54"/>
    <mergeCell ref="Y45:Y49"/>
    <mergeCell ref="Y50:Y54"/>
    <mergeCell ref="T45:T49"/>
    <mergeCell ref="U45:U49"/>
    <mergeCell ref="V45:V49"/>
    <mergeCell ref="W45:W49"/>
    <mergeCell ref="X45:X49"/>
    <mergeCell ref="Z45:Z49"/>
    <mergeCell ref="AA45:AA49"/>
    <mergeCell ref="AB65:AB69"/>
    <mergeCell ref="AC65:AC69"/>
    <mergeCell ref="Y65:Y69"/>
    <mergeCell ref="AD55:AD59"/>
    <mergeCell ref="AE55:AE59"/>
    <mergeCell ref="T60:T64"/>
    <mergeCell ref="U60:U64"/>
    <mergeCell ref="V60:V64"/>
    <mergeCell ref="W60:W64"/>
    <mergeCell ref="X60:X64"/>
    <mergeCell ref="Z60:Z64"/>
    <mergeCell ref="AA60:AA64"/>
    <mergeCell ref="AB60:AB64"/>
    <mergeCell ref="AC60:AC64"/>
    <mergeCell ref="AD60:AD64"/>
    <mergeCell ref="AE60:AE64"/>
    <mergeCell ref="Y55:Y59"/>
    <mergeCell ref="Y60:Y64"/>
    <mergeCell ref="T55:T59"/>
    <mergeCell ref="U55:U59"/>
    <mergeCell ref="V55:V59"/>
    <mergeCell ref="W55:W59"/>
    <mergeCell ref="X55:X59"/>
    <mergeCell ref="Z55:Z59"/>
    <mergeCell ref="Y25:Y29"/>
    <mergeCell ref="Y30:Y34"/>
    <mergeCell ref="T65:T69"/>
    <mergeCell ref="U65:U69"/>
    <mergeCell ref="V65:V69"/>
    <mergeCell ref="W65:W69"/>
    <mergeCell ref="X65:X69"/>
    <mergeCell ref="Z65:Z69"/>
    <mergeCell ref="AA65:AA69"/>
    <mergeCell ref="AA55:AA59"/>
    <mergeCell ref="AI46:AI48"/>
    <mergeCell ref="AI51:AI53"/>
    <mergeCell ref="AD65:AD69"/>
    <mergeCell ref="AE65:AE69"/>
    <mergeCell ref="Z8:Z9"/>
    <mergeCell ref="T6:X6"/>
    <mergeCell ref="AF10:AF14"/>
    <mergeCell ref="AF15:AF19"/>
    <mergeCell ref="AF20:AF24"/>
    <mergeCell ref="AF25:AF29"/>
    <mergeCell ref="AF30:AF34"/>
    <mergeCell ref="AF35:AF39"/>
    <mergeCell ref="AF40:AF44"/>
    <mergeCell ref="AF45:AF49"/>
    <mergeCell ref="AF50:AF54"/>
    <mergeCell ref="AF55:AF59"/>
    <mergeCell ref="AF60:AF64"/>
    <mergeCell ref="AF65:AF69"/>
    <mergeCell ref="AE8:AE9"/>
    <mergeCell ref="AF8:AF9"/>
    <mergeCell ref="Y8:Y9"/>
    <mergeCell ref="Y10:Y14"/>
    <mergeCell ref="Y15:Y19"/>
    <mergeCell ref="Y20:Y24"/>
    <mergeCell ref="AJ8:AJ9"/>
    <mergeCell ref="AL8:AL9"/>
    <mergeCell ref="AI56:AI58"/>
    <mergeCell ref="AI61:AI63"/>
    <mergeCell ref="AI66:AI68"/>
    <mergeCell ref="AG10:AG14"/>
    <mergeCell ref="AG15:AG19"/>
    <mergeCell ref="AG20:AG24"/>
    <mergeCell ref="AG25:AG29"/>
    <mergeCell ref="AG30:AG34"/>
    <mergeCell ref="AG35:AG39"/>
    <mergeCell ref="AG40:AG44"/>
    <mergeCell ref="AG45:AG49"/>
    <mergeCell ref="AG50:AG54"/>
    <mergeCell ref="AG55:AG59"/>
    <mergeCell ref="AG60:AG64"/>
    <mergeCell ref="AG65:AG69"/>
    <mergeCell ref="AI11:AI13"/>
    <mergeCell ref="AI16:AI18"/>
    <mergeCell ref="AI21:AI23"/>
    <mergeCell ref="AI26:AI28"/>
    <mergeCell ref="AI31:AI33"/>
    <mergeCell ref="AI36:AI38"/>
    <mergeCell ref="AI41:AI43"/>
  </mergeCells>
  <conditionalFormatting sqref="R8:R9">
    <cfRule type="cellIs" dxfId="48" priority="82" operator="equal">
      <formula>"Suma los penales"</formula>
    </cfRule>
  </conditionalFormatting>
  <conditionalFormatting sqref="R12:R13">
    <cfRule type="cellIs" dxfId="47" priority="74" operator="equal">
      <formula>"Suma los penales"</formula>
    </cfRule>
  </conditionalFormatting>
  <conditionalFormatting sqref="R16:R17">
    <cfRule type="cellIs" dxfId="46" priority="73" operator="equal">
      <formula>"Suma los penales"</formula>
    </cfRule>
  </conditionalFormatting>
  <conditionalFormatting sqref="R20:R21">
    <cfRule type="cellIs" dxfId="45" priority="72" operator="equal">
      <formula>"Suma los penales"</formula>
    </cfRule>
  </conditionalFormatting>
  <conditionalFormatting sqref="R24:R25">
    <cfRule type="cellIs" dxfId="44" priority="71" operator="equal">
      <formula>"Suma los penales"</formula>
    </cfRule>
  </conditionalFormatting>
  <conditionalFormatting sqref="R28:R29">
    <cfRule type="cellIs" dxfId="43" priority="70" operator="equal">
      <formula>"Suma los penales"</formula>
    </cfRule>
  </conditionalFormatting>
  <conditionalFormatting sqref="R32:R33">
    <cfRule type="cellIs" dxfId="42" priority="69" operator="equal">
      <formula>"Suma los penales"</formula>
    </cfRule>
  </conditionalFormatting>
  <conditionalFormatting sqref="R36:R37">
    <cfRule type="cellIs" dxfId="41" priority="68" operator="equal">
      <formula>"Suma los penales"</formula>
    </cfRule>
  </conditionalFormatting>
  <conditionalFormatting sqref="R40:R41">
    <cfRule type="cellIs" dxfId="40" priority="25" operator="equal">
      <formula>"Suma los penales"</formula>
    </cfRule>
  </conditionalFormatting>
  <conditionalFormatting sqref="R44:R45">
    <cfRule type="cellIs" dxfId="39" priority="24" operator="equal">
      <formula>"Suma los penales"</formula>
    </cfRule>
  </conditionalFormatting>
  <conditionalFormatting sqref="R48:R49">
    <cfRule type="cellIs" dxfId="38" priority="23" operator="equal">
      <formula>"Suma los penales"</formula>
    </cfRule>
  </conditionalFormatting>
  <conditionalFormatting sqref="R52:R53">
    <cfRule type="cellIs" dxfId="37" priority="22" operator="equal">
      <formula>"Suma los penales"</formula>
    </cfRule>
  </conditionalFormatting>
  <conditionalFormatting sqref="R56:R57">
    <cfRule type="cellIs" dxfId="36" priority="21" operator="equal">
      <formula>"Suma los penales"</formula>
    </cfRule>
  </conditionalFormatting>
  <conditionalFormatting sqref="R60:R61">
    <cfRule type="cellIs" dxfId="35" priority="20" operator="equal">
      <formula>"Suma los penales"</formula>
    </cfRule>
  </conditionalFormatting>
  <conditionalFormatting sqref="R64:R65">
    <cfRule type="cellIs" dxfId="34" priority="19" operator="equal">
      <formula>"Suma los penales"</formula>
    </cfRule>
  </conditionalFormatting>
  <conditionalFormatting sqref="R68:R69">
    <cfRule type="cellIs" dxfId="33" priority="18" operator="equal">
      <formula>"Suma los penales"</formula>
    </cfRule>
  </conditionalFormatting>
  <conditionalFormatting sqref="T2:X5">
    <cfRule type="expression" dxfId="32" priority="4">
      <formula>$AL$6</formula>
    </cfRule>
  </conditionalFormatting>
  <conditionalFormatting sqref="V10:X49">
    <cfRule type="expression" dxfId="31" priority="3">
      <formula>$U10=""</formula>
    </cfRule>
  </conditionalFormatting>
  <conditionalFormatting sqref="V50:X69">
    <cfRule type="expression" dxfId="30" priority="1">
      <formula>$U50=""</formula>
    </cfRule>
  </conditionalFormatting>
  <conditionalFormatting sqref="AJ8:AJ9">
    <cfRule type="expression" dxfId="29" priority="5">
      <formula>$AL$6</formula>
    </cfRule>
  </conditionalFormatting>
  <conditionalFormatting sqref="AJ11:AJ13">
    <cfRule type="expression" dxfId="28" priority="17">
      <formula>$AI$11=""</formula>
    </cfRule>
  </conditionalFormatting>
  <conditionalFormatting sqref="AJ16:AJ18">
    <cfRule type="expression" dxfId="27" priority="16">
      <formula>$AI$16=""</formula>
    </cfRule>
  </conditionalFormatting>
  <conditionalFormatting sqref="AJ21:AJ23">
    <cfRule type="expression" dxfId="26" priority="15">
      <formula>$AI$21=""</formula>
    </cfRule>
  </conditionalFormatting>
  <conditionalFormatting sqref="AJ26:AJ28">
    <cfRule type="expression" dxfId="25" priority="14">
      <formula>$AI$26=""</formula>
    </cfRule>
  </conditionalFormatting>
  <conditionalFormatting sqref="AJ31:AJ33">
    <cfRule type="expression" dxfId="24" priority="13">
      <formula>$AI$31=""</formula>
    </cfRule>
  </conditionalFormatting>
  <conditionalFormatting sqref="AJ36:AJ38">
    <cfRule type="expression" dxfId="23" priority="12">
      <formula>$AI$36=""</formula>
    </cfRule>
  </conditionalFormatting>
  <conditionalFormatting sqref="AJ41:AJ43">
    <cfRule type="expression" dxfId="22" priority="11">
      <formula>$AI$41=""</formula>
    </cfRule>
  </conditionalFormatting>
  <conditionalFormatting sqref="AJ46:AJ48">
    <cfRule type="expression" dxfId="21" priority="10">
      <formula>$AI$46=""</formula>
    </cfRule>
  </conditionalFormatting>
  <conditionalFormatting sqref="AJ51:AJ53">
    <cfRule type="expression" dxfId="20" priority="9">
      <formula>$AI$51=""</formula>
    </cfRule>
  </conditionalFormatting>
  <conditionalFormatting sqref="AJ56:AJ58">
    <cfRule type="expression" dxfId="19" priority="8">
      <formula>$AI$56=""</formula>
    </cfRule>
  </conditionalFormatting>
  <conditionalFormatting sqref="AJ61:AJ63">
    <cfRule type="expression" dxfId="18" priority="7">
      <formula>$AI$61=""</formula>
    </cfRule>
  </conditionalFormatting>
  <conditionalFormatting sqref="AJ66:AJ68">
    <cfRule type="expression" dxfId="17" priority="6">
      <formula>$AI$66=""</formula>
    </cfRule>
  </conditionalFormatting>
  <dataValidations count="1">
    <dataValidation type="list" allowBlank="1" showInputMessage="1" showErrorMessage="1" sqref="AJ11:AJ13 AJ61:AJ63 AJ16:AJ18 AJ21:AJ23 AJ26:AJ28 AJ31:AJ33 AJ36:AJ38 AJ41:AJ43 AJ46:AJ48 AJ51:AJ53 AJ56:AJ58 AJ66:AJ68" xr:uid="{06351E89-EC55-4ED6-B45C-C3EA007D8289}">
      <formula1>Terceros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591E-EFFC-4F39-B1E2-D9810B8B21E9}">
  <sheetPr codeName="Hoja24"/>
  <dimension ref="A1:T43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0.7109375" customWidth="1"/>
    <col min="7" max="7" width="2.14062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2.28515625" hidden="1" customWidth="1"/>
    <col min="13" max="13" width="0.85546875" customWidth="1"/>
    <col min="14" max="14" width="20.7109375" customWidth="1"/>
    <col min="15" max="15" width="0.85546875" customWidth="1"/>
    <col min="16" max="16" width="14.7109375" customWidth="1"/>
    <col min="17" max="17" width="0.85546875" customWidth="1"/>
    <col min="18" max="18" width="19.5703125" bestFit="1" customWidth="1"/>
    <col min="20" max="20" width="12.7109375" hidden="1" customWidth="1"/>
  </cols>
  <sheetData>
    <row r="1" spans="1:20" ht="25.5" customHeight="1" x14ac:dyDescent="0.25"/>
    <row r="2" spans="1:20" ht="35.25" customHeight="1" x14ac:dyDescent="0.25"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2"/>
      <c r="P2" s="10"/>
      <c r="Q2" s="10"/>
    </row>
    <row r="4" spans="1:20" ht="15" customHeight="1" x14ac:dyDescent="0.25"/>
    <row r="5" spans="1:20" ht="18" customHeight="1" thickBot="1" x14ac:dyDescent="0.3">
      <c r="B5" s="28" t="s">
        <v>61</v>
      </c>
    </row>
    <row r="6" spans="1:20" ht="18" customHeight="1" thickBot="1" x14ac:dyDescent="0.3">
      <c r="A6" s="4"/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R6" s="50" t="s">
        <v>36</v>
      </c>
      <c r="T6">
        <v>32</v>
      </c>
    </row>
    <row r="7" spans="1:20" ht="3.95" customHeight="1" thickBot="1" x14ac:dyDescent="0.3">
      <c r="A7" s="4"/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</row>
    <row r="8" spans="1:20" ht="7.5" customHeight="1" x14ac:dyDescent="0.25">
      <c r="A8" s="229">
        <v>89</v>
      </c>
      <c r="B8" s="194">
        <v>90</v>
      </c>
      <c r="C8" s="195">
        <f>VLOOKUP(A8,tDatos[],IF(UTCElegido="",3,12),0)</f>
        <v>46207</v>
      </c>
      <c r="D8" s="197">
        <f>VLOOKUP(A8,tDatos[],IF(UTCElegido="",4,12),0)</f>
        <v>0.54166666666424135</v>
      </c>
      <c r="E8" s="27" t="str">
        <f>IF(F8="","vacía",SUBSTITUTE(F8," ","_"))</f>
        <v>CANADÁ</v>
      </c>
      <c r="F8" s="198" t="str">
        <f>IF($T$6=32,VLOOKUP(A8,tDatos[],5,0),"")</f>
        <v>CANADÁ</v>
      </c>
      <c r="G8" s="192" t="str">
        <f>IF(AND(I8&lt;&gt;"",K8&lt;&gt;""),IF(I8=K8,"E",IF(I8&gt;K8,"G","P")),"")</f>
        <v>P</v>
      </c>
      <c r="H8" s="20"/>
      <c r="I8" s="190">
        <v>0</v>
      </c>
      <c r="J8" s="192" t="s">
        <v>0</v>
      </c>
      <c r="K8" s="190">
        <v>3</v>
      </c>
      <c r="L8" s="192" t="str">
        <f>IF(AND(K8&lt;&gt;"",I8&lt;&gt;""),IF(K8=I8,"E",IF(K8&gt;I8,"G","P")),"")</f>
        <v>G</v>
      </c>
      <c r="M8" s="19"/>
      <c r="N8" s="193" t="str">
        <f>IF($T$6=32,VLOOKUP(A8,tDatos[],6,0),"")</f>
        <v>MARRUECOS</v>
      </c>
      <c r="O8" s="27" t="str">
        <f>IF(N8="","vacía",SUBSTITUTE(N8," ","_"))</f>
        <v>MARRUECOS</v>
      </c>
      <c r="P8" s="218" t="str">
        <f>VLOOKUP(A8,tDatos[],9,0)</f>
        <v>Houston</v>
      </c>
      <c r="R8" s="304" t="str">
        <f>IF(G8="","",IF(G8="E","Suma los penales",IF(G8="G",F8,N8)))</f>
        <v>MARRUECOS</v>
      </c>
    </row>
    <row r="9" spans="1:20" ht="7.5" customHeight="1" thickBot="1" x14ac:dyDescent="0.3">
      <c r="A9" s="229"/>
      <c r="B9" s="194"/>
      <c r="C9" s="196"/>
      <c r="D9" s="196"/>
      <c r="E9" s="18"/>
      <c r="F9" s="198"/>
      <c r="G9" s="192"/>
      <c r="H9" s="20"/>
      <c r="I9" s="191"/>
      <c r="J9" s="192"/>
      <c r="K9" s="191"/>
      <c r="L9" s="192"/>
      <c r="M9" s="19"/>
      <c r="N9" s="193"/>
      <c r="O9" s="18"/>
      <c r="P9" s="218"/>
      <c r="R9" s="305"/>
    </row>
    <row r="10" spans="1:20" ht="7.5" customHeight="1" x14ac:dyDescent="0.25">
      <c r="A10" s="229"/>
      <c r="B10" s="194"/>
      <c r="C10" s="301"/>
      <c r="D10" s="303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306"/>
    </row>
    <row r="11" spans="1:20" ht="7.5" customHeight="1" thickBot="1" x14ac:dyDescent="0.3">
      <c r="A11" s="229"/>
      <c r="B11" s="194"/>
      <c r="C11" s="301"/>
      <c r="D11" s="303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306"/>
    </row>
    <row r="12" spans="1:20" ht="7.5" customHeight="1" x14ac:dyDescent="0.25">
      <c r="A12" s="229">
        <v>90</v>
      </c>
      <c r="B12" s="194">
        <v>89</v>
      </c>
      <c r="C12" s="195">
        <f>VLOOKUP(A12,tDatos[],IF(UTCElegido="",3,12),0)</f>
        <v>46207</v>
      </c>
      <c r="D12" s="197">
        <f>VLOOKUP(A12,tDatos[],IF(UTCElegido="",4,12),0)</f>
        <v>0.70833333333575865</v>
      </c>
      <c r="E12" s="27" t="str">
        <f>IF(F12="","vacía",SUBSTITUTE(F12," ","_"))</f>
        <v>PARAGUAY</v>
      </c>
      <c r="F12" s="198" t="str">
        <f>IF($T$6=32,VLOOKUP(A12,tDatos[],5,0),"")</f>
        <v>PARAGUAY</v>
      </c>
      <c r="G12" s="192" t="str">
        <f>IF(AND(I12&lt;&gt;"",K12&lt;&gt;""),IF(I12=K12,"E",IF(I12&gt;K12,"G","P")),"")</f>
        <v>P</v>
      </c>
      <c r="H12" s="20"/>
      <c r="I12" s="190">
        <v>0</v>
      </c>
      <c r="J12" s="192" t="s">
        <v>0</v>
      </c>
      <c r="K12" s="190">
        <v>1</v>
      </c>
      <c r="L12" s="192" t="str">
        <f>IF(AND(K12&lt;&gt;"",I12&lt;&gt;""),IF(K12=I12,"E",IF(K12&gt;I12,"G","P")),"")</f>
        <v>G</v>
      </c>
      <c r="M12" s="19"/>
      <c r="N12" s="193" t="str">
        <f>IF($T$6=32,VLOOKUP(A12,tDatos[],6,0),"")</f>
        <v>FRANCIA</v>
      </c>
      <c r="O12" s="27" t="str">
        <f>IF(N12="","vacía",SUBSTITUTE(N12," ","_"))</f>
        <v>FRANCIA</v>
      </c>
      <c r="P12" s="218" t="str">
        <f>VLOOKUP(A12,tDatos[],9,0)</f>
        <v>Filadelfia</v>
      </c>
      <c r="R12" s="304" t="str">
        <f>IF(G12="","",IF(G12="E","Suma los penales",IF(G12="G",F12,N12)))</f>
        <v>FRANCIA</v>
      </c>
    </row>
    <row r="13" spans="1:20" ht="7.5" customHeight="1" thickBot="1" x14ac:dyDescent="0.3">
      <c r="A13" s="229"/>
      <c r="B13" s="194"/>
      <c r="C13" s="196"/>
      <c r="D13" s="196"/>
      <c r="E13" s="18"/>
      <c r="F13" s="198"/>
      <c r="G13" s="192"/>
      <c r="H13" s="20"/>
      <c r="I13" s="191"/>
      <c r="J13" s="192"/>
      <c r="K13" s="191"/>
      <c r="L13" s="192"/>
      <c r="M13" s="19"/>
      <c r="N13" s="193"/>
      <c r="O13" s="18"/>
      <c r="P13" s="218"/>
      <c r="R13" s="305"/>
    </row>
    <row r="14" spans="1:20" ht="7.5" customHeight="1" x14ac:dyDescent="0.25">
      <c r="A14" s="229"/>
      <c r="B14" s="194"/>
      <c r="C14" s="301"/>
      <c r="D14" s="303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306"/>
    </row>
    <row r="15" spans="1:20" ht="7.5" customHeight="1" thickBot="1" x14ac:dyDescent="0.3">
      <c r="A15" s="229"/>
      <c r="B15" s="194"/>
      <c r="C15" s="301"/>
      <c r="D15" s="303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306"/>
    </row>
    <row r="16" spans="1:20" ht="7.5" customHeight="1" x14ac:dyDescent="0.25">
      <c r="A16" s="229">
        <v>91</v>
      </c>
      <c r="B16" s="194">
        <v>91</v>
      </c>
      <c r="C16" s="195">
        <f>VLOOKUP(A16,tDatos[],IF(UTCElegido="",3,12),0)</f>
        <v>46208</v>
      </c>
      <c r="D16" s="197">
        <f>VLOOKUP(A16,tDatos[],IF(UTCElegido="",4,12),0)</f>
        <v>0.66666666666424135</v>
      </c>
      <c r="E16" s="27" t="str">
        <f>IF(F16="","vacía",SUBSTITUTE(F16," ","_"))</f>
        <v>BRASIL</v>
      </c>
      <c r="F16" s="198" t="str">
        <f>IF($T$6=32,VLOOKUP(A16,tDatos[],5,0),"")</f>
        <v>BRASIL</v>
      </c>
      <c r="G16" s="192" t="str">
        <f>IF(AND(I16&lt;&gt;"",K16&lt;&gt;""),IF(I16=K16,"E",IF(I16&gt;K16,"G","P")),"")</f>
        <v>P</v>
      </c>
      <c r="H16" s="20"/>
      <c r="I16" s="190">
        <v>1</v>
      </c>
      <c r="J16" s="192" t="s">
        <v>0</v>
      </c>
      <c r="K16" s="190">
        <v>2</v>
      </c>
      <c r="L16" s="192" t="str">
        <f>IF(AND(K16&lt;&gt;"",I16&lt;&gt;""),IF(K16=I16,"E",IF(K16&gt;I16,"G","P")),"")</f>
        <v>G</v>
      </c>
      <c r="M16" s="19"/>
      <c r="N16" s="193" t="str">
        <f>IF($T$6=32,VLOOKUP(A16,tDatos[],6,0),"")</f>
        <v>NORUEGA</v>
      </c>
      <c r="O16" s="27" t="str">
        <f>IF(N16="","vacía",SUBSTITUTE(N16," ","_"))</f>
        <v>NORUEGA</v>
      </c>
      <c r="P16" s="218" t="str">
        <f>VLOOKUP(A16,tDatos[],9,0)</f>
        <v>N. York/N. Jersey</v>
      </c>
      <c r="R16" s="304" t="str">
        <f>IF(G16="","",IF(G16="E","Suma los penales",IF(G16="G",F16,N16)))</f>
        <v>NORUEGA</v>
      </c>
    </row>
    <row r="17" spans="1:18" ht="7.5" customHeight="1" thickBot="1" x14ac:dyDescent="0.3">
      <c r="A17" s="229"/>
      <c r="B17" s="194"/>
      <c r="C17" s="196"/>
      <c r="D17" s="196"/>
      <c r="E17" s="18"/>
      <c r="F17" s="198"/>
      <c r="G17" s="192"/>
      <c r="H17" s="20"/>
      <c r="I17" s="191"/>
      <c r="J17" s="192"/>
      <c r="K17" s="191"/>
      <c r="L17" s="192"/>
      <c r="M17" s="19"/>
      <c r="N17" s="193"/>
      <c r="O17" s="18"/>
      <c r="P17" s="218"/>
      <c r="R17" s="305"/>
    </row>
    <row r="18" spans="1:18" ht="7.5" customHeight="1" x14ac:dyDescent="0.25">
      <c r="A18" s="229"/>
      <c r="B18" s="194"/>
      <c r="C18" s="301"/>
      <c r="D18" s="303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306"/>
    </row>
    <row r="19" spans="1:18" ht="7.5" customHeight="1" thickBot="1" x14ac:dyDescent="0.3">
      <c r="A19" s="229"/>
      <c r="B19" s="194"/>
      <c r="C19" s="301"/>
      <c r="D19" s="303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306"/>
    </row>
    <row r="20" spans="1:18" ht="7.5" customHeight="1" x14ac:dyDescent="0.25">
      <c r="A20" s="229">
        <v>92</v>
      </c>
      <c r="B20" s="194">
        <v>92</v>
      </c>
      <c r="C20" s="195">
        <f>VLOOKUP(A20,tDatos[],IF(UTCElegido="",3,12),0)</f>
        <v>46208</v>
      </c>
      <c r="D20" s="197">
        <f>VLOOKUP(A20,tDatos[],IF(UTCElegido="",4,12),0)</f>
        <v>0.83333333333575865</v>
      </c>
      <c r="E20" s="27" t="str">
        <f>IF(F20="","vacía",SUBSTITUTE(F20," ","_"))</f>
        <v>MÉXICO</v>
      </c>
      <c r="F20" s="198" t="str">
        <f>IF($T$6=32,VLOOKUP(A20,tDatos[],5,0),"")</f>
        <v>MÉXICO</v>
      </c>
      <c r="G20" s="192" t="str">
        <f>IF(AND(I20&lt;&gt;"",K20&lt;&gt;""),IF(I20=K20,"E",IF(I20&gt;K20,"G","P")),"")</f>
        <v>P</v>
      </c>
      <c r="H20" s="20"/>
      <c r="I20" s="190">
        <v>2</v>
      </c>
      <c r="J20" s="192" t="s">
        <v>0</v>
      </c>
      <c r="K20" s="190">
        <v>3</v>
      </c>
      <c r="L20" s="192" t="str">
        <f>IF(AND(K20&lt;&gt;"",I20&lt;&gt;""),IF(K20=I20,"E",IF(K20&gt;I20,"G","P")),"")</f>
        <v>G</v>
      </c>
      <c r="M20" s="19"/>
      <c r="N20" s="193" t="str">
        <f>IF($T$6=32,VLOOKUP(A20,tDatos[],6,0),"")</f>
        <v>INGLATERRA</v>
      </c>
      <c r="O20" s="27" t="str">
        <f>IF(N20="","vacía",SUBSTITUTE(N20," ","_"))</f>
        <v>INGLATERRA</v>
      </c>
      <c r="P20" s="218" t="str">
        <f>VLOOKUP(A20,tDatos[],9,0)</f>
        <v>Ciudad de México</v>
      </c>
      <c r="R20" s="304" t="str">
        <f>IF(G20="","",IF(G20="E","Suma los penales",IF(G20="G",F20,N20)))</f>
        <v>INGLATERRA</v>
      </c>
    </row>
    <row r="21" spans="1:18" ht="7.5" customHeight="1" thickBot="1" x14ac:dyDescent="0.3">
      <c r="A21" s="229"/>
      <c r="B21" s="194"/>
      <c r="C21" s="196"/>
      <c r="D21" s="196"/>
      <c r="E21" s="18"/>
      <c r="F21" s="198"/>
      <c r="G21" s="192"/>
      <c r="H21" s="20"/>
      <c r="I21" s="191"/>
      <c r="J21" s="192"/>
      <c r="K21" s="191"/>
      <c r="L21" s="192"/>
      <c r="M21" s="19"/>
      <c r="N21" s="193"/>
      <c r="O21" s="18"/>
      <c r="P21" s="218"/>
      <c r="R21" s="305"/>
    </row>
    <row r="22" spans="1:18" ht="7.5" customHeight="1" x14ac:dyDescent="0.25">
      <c r="A22" s="229"/>
      <c r="B22" s="194"/>
      <c r="C22" s="301"/>
      <c r="D22" s="303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306"/>
    </row>
    <row r="23" spans="1:18" ht="7.5" customHeight="1" thickBot="1" x14ac:dyDescent="0.3">
      <c r="A23" s="229"/>
      <c r="B23" s="194"/>
      <c r="C23" s="301"/>
      <c r="D23" s="303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306"/>
    </row>
    <row r="24" spans="1:18" ht="7.5" customHeight="1" x14ac:dyDescent="0.25">
      <c r="A24" s="229">
        <v>93</v>
      </c>
      <c r="B24" s="194">
        <v>93</v>
      </c>
      <c r="C24" s="195">
        <f>VLOOKUP(A24,tDatos[],IF(UTCElegido="",3,12),0)</f>
        <v>46209</v>
      </c>
      <c r="D24" s="197">
        <f>VLOOKUP(A24,tDatos[],IF(UTCElegido="",4,12),0)</f>
        <v>0.625</v>
      </c>
      <c r="E24" s="27" t="str">
        <f>IF(F24="","vacía",SUBSTITUTE(F24," ","_"))</f>
        <v>PORTUGAL</v>
      </c>
      <c r="F24" s="198" t="str">
        <f>IF($T$6=32,VLOOKUP(A24,tDatos[],5,0),"")</f>
        <v>PORTUGAL</v>
      </c>
      <c r="G24" s="192" t="str">
        <f>IF(AND(I24&lt;&gt;"",K24&lt;&gt;""),IF(I24=K24,"E",IF(I24&gt;K24,"G","P")),"")</f>
        <v>P</v>
      </c>
      <c r="H24" s="20"/>
      <c r="I24" s="190">
        <v>0</v>
      </c>
      <c r="J24" s="192" t="s">
        <v>0</v>
      </c>
      <c r="K24" s="190">
        <v>1</v>
      </c>
      <c r="L24" s="192" t="str">
        <f>IF(AND(K24&lt;&gt;"",I24&lt;&gt;""),IF(K24=I24,"E",IF(K24&gt;I24,"G","P")),"")</f>
        <v>G</v>
      </c>
      <c r="M24" s="19"/>
      <c r="N24" s="193" t="str">
        <f>IF($T$6=32,VLOOKUP(A24,tDatos[],6,0),"")</f>
        <v>ESPAÑA</v>
      </c>
      <c r="O24" s="27" t="str">
        <f>IF(N24="","vacía",SUBSTITUTE(N24," ","_"))</f>
        <v>ESPAÑA</v>
      </c>
      <c r="P24" s="218" t="str">
        <f>VLOOKUP(A24,tDatos[],9,0)</f>
        <v>Dallas</v>
      </c>
      <c r="R24" s="304" t="str">
        <f>IF(G24="","",IF(G24="E","Suma los penales",IF(G24="G",F24,N24)))</f>
        <v>ESPAÑA</v>
      </c>
    </row>
    <row r="25" spans="1:18" ht="7.5" customHeight="1" thickBot="1" x14ac:dyDescent="0.3">
      <c r="A25" s="229"/>
      <c r="B25" s="194"/>
      <c r="C25" s="196"/>
      <c r="D25" s="196"/>
      <c r="E25" s="18"/>
      <c r="F25" s="198"/>
      <c r="G25" s="192"/>
      <c r="H25" s="20"/>
      <c r="I25" s="191"/>
      <c r="J25" s="192"/>
      <c r="K25" s="191"/>
      <c r="L25" s="192"/>
      <c r="M25" s="19"/>
      <c r="N25" s="193"/>
      <c r="O25" s="18"/>
      <c r="P25" s="218"/>
      <c r="R25" s="305"/>
    </row>
    <row r="26" spans="1:18" ht="7.5" customHeight="1" x14ac:dyDescent="0.25">
      <c r="A26" s="229"/>
      <c r="B26" s="194"/>
      <c r="C26" s="301"/>
      <c r="D26" s="303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306"/>
    </row>
    <row r="27" spans="1:18" ht="7.5" customHeight="1" thickBot="1" x14ac:dyDescent="0.3">
      <c r="A27" s="229"/>
      <c r="B27" s="194"/>
      <c r="C27" s="301"/>
      <c r="D27" s="303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306"/>
    </row>
    <row r="28" spans="1:18" ht="7.5" customHeight="1" x14ac:dyDescent="0.25">
      <c r="A28" s="229">
        <v>94</v>
      </c>
      <c r="B28" s="194">
        <v>94</v>
      </c>
      <c r="C28" s="195">
        <f>VLOOKUP(A28,tDatos[],IF(UTCElegido="",3,12),0)</f>
        <v>46209</v>
      </c>
      <c r="D28" s="197">
        <f>VLOOKUP(A28,tDatos[],IF(UTCElegido="",4,12),0)</f>
        <v>0.83333333333575865</v>
      </c>
      <c r="E28" s="27" t="str">
        <f>IF(F28="","vacía",SUBSTITUTE(F28," ","_"))</f>
        <v>ESTADOS_UNIDOS</v>
      </c>
      <c r="F28" s="198" t="str">
        <f>IF($T$6=32,VLOOKUP(A28,tDatos[],5,0),"")</f>
        <v>ESTADOS UNIDOS</v>
      </c>
      <c r="G28" s="192" t="str">
        <f>IF(AND(I28&lt;&gt;"",K28&lt;&gt;""),IF(I28=K28,"E",IF(I28&gt;K28,"G","P")),"")</f>
        <v>P</v>
      </c>
      <c r="H28" s="20"/>
      <c r="I28" s="190">
        <v>1</v>
      </c>
      <c r="J28" s="192" t="s">
        <v>0</v>
      </c>
      <c r="K28" s="190">
        <v>4</v>
      </c>
      <c r="L28" s="192" t="str">
        <f>IF(AND(K28&lt;&gt;"",I28&lt;&gt;""),IF(K28=I28,"E",IF(K28&gt;I28,"G","P")),"")</f>
        <v>G</v>
      </c>
      <c r="M28" s="19"/>
      <c r="N28" s="193" t="str">
        <f>IF($T$6=32,VLOOKUP(A28,tDatos[],6,0),"")</f>
        <v>BÉLGICA</v>
      </c>
      <c r="O28" s="27" t="str">
        <f>IF(N28="","vacía",SUBSTITUTE(N28," ","_"))</f>
        <v>BÉLGICA</v>
      </c>
      <c r="P28" s="218" t="str">
        <f>VLOOKUP(A28,tDatos[],9,0)</f>
        <v>Seattle</v>
      </c>
      <c r="R28" s="304" t="str">
        <f>IF(G28="","",IF(G28="E","Suma los penales",IF(G28="G",F28,N28)))</f>
        <v>BÉLGICA</v>
      </c>
    </row>
    <row r="29" spans="1:18" ht="8.25" customHeight="1" thickBot="1" x14ac:dyDescent="0.3">
      <c r="A29" s="229"/>
      <c r="B29" s="194"/>
      <c r="C29" s="196"/>
      <c r="D29" s="196"/>
      <c r="E29" s="18"/>
      <c r="F29" s="198"/>
      <c r="G29" s="192"/>
      <c r="H29" s="20"/>
      <c r="I29" s="191"/>
      <c r="J29" s="192"/>
      <c r="K29" s="191"/>
      <c r="L29" s="192"/>
      <c r="M29" s="19"/>
      <c r="N29" s="193"/>
      <c r="O29" s="18"/>
      <c r="P29" s="218"/>
      <c r="R29" s="305"/>
    </row>
    <row r="30" spans="1:18" ht="7.5" customHeight="1" x14ac:dyDescent="0.25">
      <c r="A30" s="229"/>
      <c r="B30" s="194"/>
      <c r="C30" s="301"/>
      <c r="D30" s="303"/>
      <c r="E30" s="18"/>
      <c r="F30" s="232"/>
      <c r="G30" s="18"/>
      <c r="H30" s="18"/>
      <c r="I30" s="307"/>
      <c r="J30" s="192"/>
      <c r="K30" s="307"/>
      <c r="L30" s="18"/>
      <c r="M30" s="18"/>
      <c r="N30" s="232"/>
      <c r="O30" s="18"/>
      <c r="P30" s="236"/>
      <c r="R30" s="306"/>
    </row>
    <row r="31" spans="1:18" ht="7.5" customHeight="1" thickBot="1" x14ac:dyDescent="0.3">
      <c r="A31" s="229"/>
      <c r="B31" s="194"/>
      <c r="C31" s="301"/>
      <c r="D31" s="303"/>
      <c r="E31" s="18"/>
      <c r="F31" s="232"/>
      <c r="G31" s="18"/>
      <c r="H31" s="18"/>
      <c r="I31" s="308"/>
      <c r="J31" s="192"/>
      <c r="K31" s="308"/>
      <c r="L31" s="18"/>
      <c r="M31" s="18"/>
      <c r="N31" s="232"/>
      <c r="O31" s="18"/>
      <c r="P31" s="236"/>
      <c r="R31" s="306"/>
    </row>
    <row r="32" spans="1:18" ht="7.5" customHeight="1" x14ac:dyDescent="0.25">
      <c r="A32" s="229">
        <v>95</v>
      </c>
      <c r="B32" s="194">
        <v>95</v>
      </c>
      <c r="C32" s="195">
        <f>VLOOKUP(A32,tDatos[],IF(UTCElegido="",3,12),0)</f>
        <v>46210</v>
      </c>
      <c r="D32" s="197">
        <f>VLOOKUP(A32,tDatos[],IF(UTCElegido="",4,12),0)</f>
        <v>0.5</v>
      </c>
      <c r="E32" s="27" t="str">
        <f>IF(F32="","vacía",SUBSTITUTE(F32," ","_"))</f>
        <v>ARGENTINA</v>
      </c>
      <c r="F32" s="198" t="str">
        <f>IF($T$6=32,VLOOKUP(A32,tDatos[],5,0),"")</f>
        <v>ARGENTINA</v>
      </c>
      <c r="G32" s="192" t="str">
        <f>IF(AND(I32&lt;&gt;"",K32&lt;&gt;""),IF(I32=K32,"E",IF(I32&gt;K32,"G","P")),"")</f>
        <v>G</v>
      </c>
      <c r="H32" s="20"/>
      <c r="I32" s="190">
        <v>3</v>
      </c>
      <c r="J32" s="192" t="s">
        <v>0</v>
      </c>
      <c r="K32" s="190">
        <v>2</v>
      </c>
      <c r="L32" s="192" t="str">
        <f>IF(AND(K32&lt;&gt;"",I32&lt;&gt;""),IF(K32=I32,"E",IF(K32&gt;I32,"G","P")),"")</f>
        <v>P</v>
      </c>
      <c r="M32" s="19"/>
      <c r="N32" s="193" t="str">
        <f>IF($T$6=32,VLOOKUP(A32,tDatos[],6,0),"")</f>
        <v>EGIPTO</v>
      </c>
      <c r="O32" s="27" t="str">
        <f>IF(N32="","vacía",SUBSTITUTE(N32," ","_"))</f>
        <v>EGIPTO</v>
      </c>
      <c r="P32" s="218" t="str">
        <f>VLOOKUP(A32,tDatos[],9,0)</f>
        <v>Atlanta</v>
      </c>
      <c r="R32" s="304" t="str">
        <f>IF(G32="","",IF(G32="E","Suma los penales",IF(G32="G",F32,N32)))</f>
        <v>ARGENTINA</v>
      </c>
    </row>
    <row r="33" spans="1:18" ht="7.5" customHeight="1" thickBot="1" x14ac:dyDescent="0.3">
      <c r="A33" s="229"/>
      <c r="B33" s="194"/>
      <c r="C33" s="196"/>
      <c r="D33" s="196"/>
      <c r="E33" s="18"/>
      <c r="F33" s="198"/>
      <c r="G33" s="192"/>
      <c r="H33" s="20"/>
      <c r="I33" s="191"/>
      <c r="J33" s="192"/>
      <c r="K33" s="191"/>
      <c r="L33" s="192"/>
      <c r="M33" s="19"/>
      <c r="N33" s="193"/>
      <c r="O33" s="18"/>
      <c r="P33" s="218"/>
      <c r="R33" s="305"/>
    </row>
    <row r="34" spans="1:18" ht="7.5" customHeight="1" x14ac:dyDescent="0.25">
      <c r="A34" s="229"/>
      <c r="B34" s="194"/>
      <c r="C34" s="301"/>
      <c r="D34" s="303"/>
      <c r="E34" s="18"/>
      <c r="F34" s="232"/>
      <c r="G34" s="18"/>
      <c r="H34" s="18"/>
      <c r="I34" s="192"/>
      <c r="J34" s="192"/>
      <c r="K34" s="192"/>
      <c r="L34" s="18"/>
      <c r="M34" s="18"/>
      <c r="N34" s="232"/>
      <c r="O34" s="18"/>
      <c r="P34" s="236"/>
      <c r="R34" s="306"/>
    </row>
    <row r="35" spans="1:18" ht="7.5" customHeight="1" thickBot="1" x14ac:dyDescent="0.3">
      <c r="A35" s="229"/>
      <c r="B35" s="194"/>
      <c r="C35" s="301"/>
      <c r="D35" s="303"/>
      <c r="E35" s="18"/>
      <c r="F35" s="232"/>
      <c r="G35" s="18"/>
      <c r="H35" s="18"/>
      <c r="I35" s="192"/>
      <c r="J35" s="192"/>
      <c r="K35" s="192"/>
      <c r="L35" s="18"/>
      <c r="M35" s="18"/>
      <c r="N35" s="232"/>
      <c r="O35" s="18"/>
      <c r="P35" s="236"/>
      <c r="R35" s="306"/>
    </row>
    <row r="36" spans="1:18" ht="7.5" customHeight="1" x14ac:dyDescent="0.25">
      <c r="A36" s="229">
        <v>96</v>
      </c>
      <c r="B36" s="194">
        <v>96</v>
      </c>
      <c r="C36" s="195">
        <f>VLOOKUP(A36,tDatos[],IF(UTCElegido="",3,12),0)</f>
        <v>46210</v>
      </c>
      <c r="D36" s="197">
        <f>VLOOKUP(A36,tDatos[],IF(UTCElegido="",4,12),0)</f>
        <v>0.66666666666424135</v>
      </c>
      <c r="E36" s="27" t="str">
        <f>IF(F36="","vacía",SUBSTITUTE(F36," ","_"))</f>
        <v>SUIZA</v>
      </c>
      <c r="F36" s="198" t="str">
        <f>IF($T$6=32,VLOOKUP(A36,tDatos[],5,0),"")</f>
        <v>SUIZA</v>
      </c>
      <c r="G36" s="192" t="str">
        <f>IF(AND(I36&lt;&gt;"",K36&lt;&gt;""),IF(I36=K36,"E",IF(I36&gt;K36,"G","P")),"")</f>
        <v>G</v>
      </c>
      <c r="H36" s="20"/>
      <c r="I36" s="190">
        <v>4</v>
      </c>
      <c r="J36" s="192" t="s">
        <v>0</v>
      </c>
      <c r="K36" s="190">
        <v>3</v>
      </c>
      <c r="L36" s="192" t="str">
        <f>IF(AND(K36&lt;&gt;"",I36&lt;&gt;""),IF(K36=I36,"E",IF(K36&gt;I36,"G","P")),"")</f>
        <v>P</v>
      </c>
      <c r="M36" s="19"/>
      <c r="N36" s="193" t="str">
        <f>IF($T$6=32,VLOOKUP(A36,tDatos[],6,0),"")</f>
        <v>COLOMBIA</v>
      </c>
      <c r="O36" s="27" t="str">
        <f>IF(N36="","vacía",SUBSTITUTE(N36," ","_"))</f>
        <v>COLOMBIA</v>
      </c>
      <c r="P36" s="218" t="str">
        <f>VLOOKUP(A36,tDatos[],9,0)</f>
        <v>Vancouver</v>
      </c>
      <c r="R36" s="304" t="str">
        <f>IF(G36="","",IF(G36="E","Suma los penales",IF(G36="G",F36,N36)))</f>
        <v>SUIZA</v>
      </c>
    </row>
    <row r="37" spans="1:18" ht="7.5" customHeight="1" thickBot="1" x14ac:dyDescent="0.3">
      <c r="A37" s="229"/>
      <c r="B37" s="194"/>
      <c r="C37" s="196"/>
      <c r="D37" s="196"/>
      <c r="E37" s="18"/>
      <c r="F37" s="198"/>
      <c r="G37" s="192"/>
      <c r="H37" s="20"/>
      <c r="I37" s="191"/>
      <c r="J37" s="192"/>
      <c r="K37" s="191"/>
      <c r="L37" s="192"/>
      <c r="M37" s="19"/>
      <c r="N37" s="193"/>
      <c r="O37" s="18"/>
      <c r="P37" s="218"/>
      <c r="R37" s="305"/>
    </row>
    <row r="38" spans="1:18" ht="3.95" customHeight="1" x14ac:dyDescent="0.25">
      <c r="A38" s="4"/>
      <c r="B38" s="21"/>
      <c r="C38" s="22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1"/>
    </row>
    <row r="39" spans="1:18" ht="15" customHeight="1" x14ac:dyDescent="0.25">
      <c r="A39" s="4"/>
    </row>
    <row r="40" spans="1:18" ht="15" customHeight="1" x14ac:dyDescent="0.25">
      <c r="A40" s="4"/>
    </row>
    <row r="41" spans="1:18" ht="15" customHeight="1" x14ac:dyDescent="0.25"/>
    <row r="42" spans="1:18" ht="15" customHeight="1" x14ac:dyDescent="0.25"/>
    <row r="43" spans="1:18" ht="15" customHeight="1" x14ac:dyDescent="0.25"/>
  </sheetData>
  <sheetProtection sheet="1" objects="1" scenarios="1"/>
  <mergeCells count="182">
    <mergeCell ref="E6:O6"/>
    <mergeCell ref="A8:A9"/>
    <mergeCell ref="C8:C9"/>
    <mergeCell ref="D8:D9"/>
    <mergeCell ref="F8:F9"/>
    <mergeCell ref="G8:G9"/>
    <mergeCell ref="I8:I9"/>
    <mergeCell ref="J8:J9"/>
    <mergeCell ref="K8:K9"/>
    <mergeCell ref="L8:L9"/>
    <mergeCell ref="N8:N9"/>
    <mergeCell ref="B8:B9"/>
    <mergeCell ref="P8:P9"/>
    <mergeCell ref="R8:R9"/>
    <mergeCell ref="A10:A11"/>
    <mergeCell ref="C10:C11"/>
    <mergeCell ref="D10:D11"/>
    <mergeCell ref="F10:F11"/>
    <mergeCell ref="I10:I11"/>
    <mergeCell ref="J10:J11"/>
    <mergeCell ref="K10:K11"/>
    <mergeCell ref="N10:N11"/>
    <mergeCell ref="P10:P11"/>
    <mergeCell ref="R10:R11"/>
    <mergeCell ref="B10:B11"/>
    <mergeCell ref="N12:N13"/>
    <mergeCell ref="P12:P13"/>
    <mergeCell ref="R12:R13"/>
    <mergeCell ref="A14:A15"/>
    <mergeCell ref="C14:C15"/>
    <mergeCell ref="D14:D15"/>
    <mergeCell ref="F14:F15"/>
    <mergeCell ref="I14:I15"/>
    <mergeCell ref="J14:J15"/>
    <mergeCell ref="K14:K15"/>
    <mergeCell ref="N14:N15"/>
    <mergeCell ref="P14:P15"/>
    <mergeCell ref="R14:R15"/>
    <mergeCell ref="A12:A13"/>
    <mergeCell ref="C12:C13"/>
    <mergeCell ref="D12:D13"/>
    <mergeCell ref="F12:F13"/>
    <mergeCell ref="G12:G13"/>
    <mergeCell ref="I12:I13"/>
    <mergeCell ref="J12:J13"/>
    <mergeCell ref="K12:K13"/>
    <mergeCell ref="L12:L13"/>
    <mergeCell ref="B12:B13"/>
    <mergeCell ref="B14:B15"/>
    <mergeCell ref="A16:A17"/>
    <mergeCell ref="C16:C17"/>
    <mergeCell ref="D16:D17"/>
    <mergeCell ref="F16:F17"/>
    <mergeCell ref="G16:G17"/>
    <mergeCell ref="R16:R17"/>
    <mergeCell ref="A18:A19"/>
    <mergeCell ref="C18:C19"/>
    <mergeCell ref="D18:D19"/>
    <mergeCell ref="F18:F19"/>
    <mergeCell ref="I18:I19"/>
    <mergeCell ref="J18:J19"/>
    <mergeCell ref="K18:K19"/>
    <mergeCell ref="N18:N19"/>
    <mergeCell ref="P18:P19"/>
    <mergeCell ref="I16:I17"/>
    <mergeCell ref="J16:J17"/>
    <mergeCell ref="K16:K17"/>
    <mergeCell ref="L16:L17"/>
    <mergeCell ref="N16:N17"/>
    <mergeCell ref="P16:P17"/>
    <mergeCell ref="R18:R19"/>
    <mergeCell ref="B16:B17"/>
    <mergeCell ref="B18:B19"/>
    <mergeCell ref="N20:N21"/>
    <mergeCell ref="P20:P21"/>
    <mergeCell ref="R20:R21"/>
    <mergeCell ref="A22:A23"/>
    <mergeCell ref="C22:C23"/>
    <mergeCell ref="D22:D23"/>
    <mergeCell ref="F22:F23"/>
    <mergeCell ref="I22:I23"/>
    <mergeCell ref="J22:J23"/>
    <mergeCell ref="K22:K23"/>
    <mergeCell ref="N22:N23"/>
    <mergeCell ref="P22:P23"/>
    <mergeCell ref="R22:R23"/>
    <mergeCell ref="A20:A21"/>
    <mergeCell ref="C20:C21"/>
    <mergeCell ref="D20:D21"/>
    <mergeCell ref="F20:F21"/>
    <mergeCell ref="G20:G21"/>
    <mergeCell ref="I20:I21"/>
    <mergeCell ref="J20:J21"/>
    <mergeCell ref="K20:K21"/>
    <mergeCell ref="L20:L21"/>
    <mergeCell ref="B20:B21"/>
    <mergeCell ref="B22:B23"/>
    <mergeCell ref="N24:N25"/>
    <mergeCell ref="P24:P25"/>
    <mergeCell ref="R24:R25"/>
    <mergeCell ref="A26:A27"/>
    <mergeCell ref="C26:C27"/>
    <mergeCell ref="D26:D27"/>
    <mergeCell ref="F26:F27"/>
    <mergeCell ref="I26:I27"/>
    <mergeCell ref="J26:J27"/>
    <mergeCell ref="K26:K27"/>
    <mergeCell ref="N26:N27"/>
    <mergeCell ref="P26:P27"/>
    <mergeCell ref="R26:R27"/>
    <mergeCell ref="A24:A25"/>
    <mergeCell ref="C24:C25"/>
    <mergeCell ref="D24:D25"/>
    <mergeCell ref="F24:F25"/>
    <mergeCell ref="G24:G25"/>
    <mergeCell ref="I24:I25"/>
    <mergeCell ref="J24:J25"/>
    <mergeCell ref="K24:K25"/>
    <mergeCell ref="L24:L25"/>
    <mergeCell ref="B24:B25"/>
    <mergeCell ref="B26:B27"/>
    <mergeCell ref="A28:A29"/>
    <mergeCell ref="C28:C29"/>
    <mergeCell ref="D28:D29"/>
    <mergeCell ref="F28:F29"/>
    <mergeCell ref="G28:G29"/>
    <mergeCell ref="R28:R29"/>
    <mergeCell ref="A30:A31"/>
    <mergeCell ref="C30:C31"/>
    <mergeCell ref="D30:D31"/>
    <mergeCell ref="F30:F31"/>
    <mergeCell ref="I30:I31"/>
    <mergeCell ref="J30:J31"/>
    <mergeCell ref="K30:K31"/>
    <mergeCell ref="N30:N31"/>
    <mergeCell ref="P30:P31"/>
    <mergeCell ref="I28:I29"/>
    <mergeCell ref="J28:J29"/>
    <mergeCell ref="K28:K29"/>
    <mergeCell ref="L28:L29"/>
    <mergeCell ref="N28:N29"/>
    <mergeCell ref="P28:P29"/>
    <mergeCell ref="R30:R31"/>
    <mergeCell ref="B28:B29"/>
    <mergeCell ref="B30:B31"/>
    <mergeCell ref="N32:N33"/>
    <mergeCell ref="P32:P33"/>
    <mergeCell ref="R32:R33"/>
    <mergeCell ref="A34:A35"/>
    <mergeCell ref="C34:C35"/>
    <mergeCell ref="D34:D35"/>
    <mergeCell ref="F34:F35"/>
    <mergeCell ref="I34:I35"/>
    <mergeCell ref="J34:J35"/>
    <mergeCell ref="K34:K35"/>
    <mergeCell ref="A32:A33"/>
    <mergeCell ref="C32:C33"/>
    <mergeCell ref="D32:D33"/>
    <mergeCell ref="F32:F33"/>
    <mergeCell ref="G32:G33"/>
    <mergeCell ref="I32:I33"/>
    <mergeCell ref="J32:J33"/>
    <mergeCell ref="K32:K33"/>
    <mergeCell ref="L32:L33"/>
    <mergeCell ref="B32:B33"/>
    <mergeCell ref="B34:B35"/>
    <mergeCell ref="K36:K37"/>
    <mergeCell ref="L36:L37"/>
    <mergeCell ref="N36:N37"/>
    <mergeCell ref="P36:P37"/>
    <mergeCell ref="R36:R37"/>
    <mergeCell ref="N34:N35"/>
    <mergeCell ref="P34:P35"/>
    <mergeCell ref="R34:R35"/>
    <mergeCell ref="A36:A37"/>
    <mergeCell ref="C36:C37"/>
    <mergeCell ref="D36:D37"/>
    <mergeCell ref="F36:F37"/>
    <mergeCell ref="G36:G37"/>
    <mergeCell ref="I36:I37"/>
    <mergeCell ref="J36:J37"/>
    <mergeCell ref="B36:B37"/>
  </mergeCells>
  <conditionalFormatting sqref="R8:R9">
    <cfRule type="cellIs" dxfId="16" priority="8" operator="equal">
      <formula>"Suma los penales"</formula>
    </cfRule>
  </conditionalFormatting>
  <conditionalFormatting sqref="R12:R13">
    <cfRule type="cellIs" dxfId="15" priority="7" operator="equal">
      <formula>"Suma los penales"</formula>
    </cfRule>
  </conditionalFormatting>
  <conditionalFormatting sqref="R16:R17">
    <cfRule type="cellIs" dxfId="14" priority="6" operator="equal">
      <formula>"Suma los penales"</formula>
    </cfRule>
  </conditionalFormatting>
  <conditionalFormatting sqref="R20:R21">
    <cfRule type="cellIs" dxfId="13" priority="5" operator="equal">
      <formula>"Suma los penales"</formula>
    </cfRule>
  </conditionalFormatting>
  <conditionalFormatting sqref="R24:R25">
    <cfRule type="cellIs" dxfId="12" priority="4" operator="equal">
      <formula>"Suma los penales"</formula>
    </cfRule>
  </conditionalFormatting>
  <conditionalFormatting sqref="R28:R29">
    <cfRule type="cellIs" dxfId="11" priority="3" operator="equal">
      <formula>"Suma los penales"</formula>
    </cfRule>
  </conditionalFormatting>
  <conditionalFormatting sqref="R32:R33">
    <cfRule type="cellIs" dxfId="10" priority="2" operator="equal">
      <formula>"Suma los penales"</formula>
    </cfRule>
  </conditionalFormatting>
  <conditionalFormatting sqref="R36:R37">
    <cfRule type="cellIs" dxfId="9" priority="1" operator="equal">
      <formula>"Suma los penales"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B1:T26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0.7109375" customWidth="1"/>
    <col min="7" max="7" width="2.2851562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2.28515625" hidden="1" customWidth="1"/>
    <col min="13" max="13" width="0.85546875" customWidth="1"/>
    <col min="14" max="14" width="20.7109375" customWidth="1"/>
    <col min="15" max="15" width="0.85546875" customWidth="1"/>
    <col min="16" max="16" width="14.7109375" customWidth="1"/>
    <col min="17" max="17" width="0.85546875" customWidth="1"/>
    <col min="18" max="18" width="19.5703125" bestFit="1" customWidth="1"/>
    <col min="20" max="20" width="12.7109375" hidden="1" customWidth="1"/>
  </cols>
  <sheetData>
    <row r="1" spans="2:20" ht="25.5" customHeight="1" x14ac:dyDescent="0.25"/>
    <row r="2" spans="2:20" ht="35.25" customHeight="1" x14ac:dyDescent="0.25"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4" spans="2:20" ht="15" customHeight="1" x14ac:dyDescent="0.25">
      <c r="I4" s="2"/>
    </row>
    <row r="5" spans="2:20" ht="18" customHeight="1" thickBot="1" x14ac:dyDescent="0.3">
      <c r="B5" s="28" t="s">
        <v>61</v>
      </c>
      <c r="I5" s="2"/>
    </row>
    <row r="6" spans="2:20" ht="18" customHeight="1" thickBo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R6" s="50" t="s">
        <v>36</v>
      </c>
      <c r="T6">
        <v>16</v>
      </c>
    </row>
    <row r="7" spans="2:20" ht="3.95" customHeight="1" thickBot="1" x14ac:dyDescent="0.3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</row>
    <row r="8" spans="2:20" ht="7.5" customHeight="1" x14ac:dyDescent="0.25">
      <c r="B8" s="194">
        <v>97</v>
      </c>
      <c r="C8" s="195">
        <f>VLOOKUP(B8,tDatos[],IF(UTCElegido="",3,12),0)</f>
        <v>46212</v>
      </c>
      <c r="D8" s="197">
        <f>VLOOKUP(B8,tDatos[],IF(UTCElegido="",4,12),0)</f>
        <v>0.66666666666424135</v>
      </c>
      <c r="E8" s="27" t="str">
        <f>IF(F8="","vacía",SUBSTITUTE(F8," ","_"))</f>
        <v>FRANCIA</v>
      </c>
      <c r="F8" s="198" t="str">
        <f>IF($T$6=16,VLOOKUP(B8,tDatos[],5,0),"")</f>
        <v>FRANCIA</v>
      </c>
      <c r="G8" s="192" t="str">
        <f>IF(AND(I8&lt;&gt;"",K8&lt;&gt;""),IF(I8=K8,"E",IF(I8&gt;K8,"G","P")),"")</f>
        <v>G</v>
      </c>
      <c r="H8" s="20"/>
      <c r="I8" s="190">
        <v>2</v>
      </c>
      <c r="J8" s="192" t="s">
        <v>0</v>
      </c>
      <c r="K8" s="190">
        <v>0</v>
      </c>
      <c r="L8" s="192" t="str">
        <f>IF(AND(K8&lt;&gt;"",I8&lt;&gt;""),IF(K8=I8,"E",IF(K8&gt;I8,"G","P")),"")</f>
        <v>P</v>
      </c>
      <c r="M8" s="19"/>
      <c r="N8" s="193" t="str">
        <f>IF($T$6=16,VLOOKUP(B8,tDatos[],6,0),"")</f>
        <v>MARRUECOS</v>
      </c>
      <c r="O8" s="27" t="str">
        <f>IF(N8="","vacía",SUBSTITUTE(N8," ","_"))</f>
        <v>MARRUECOS</v>
      </c>
      <c r="P8" s="218" t="str">
        <f>VLOOKUP(B8,tDatos[],9,0)</f>
        <v>Boston</v>
      </c>
      <c r="R8" s="304" t="str">
        <f>IF(G8="","",IF(G8="E","Suma los penales",IF(G8="G",F8,N8)))</f>
        <v>FRANCIA</v>
      </c>
    </row>
    <row r="9" spans="2:20" ht="7.5" customHeight="1" thickBot="1" x14ac:dyDescent="0.3">
      <c r="B9" s="194"/>
      <c r="C9" s="196"/>
      <c r="D9" s="196"/>
      <c r="E9" s="18"/>
      <c r="F9" s="198"/>
      <c r="G9" s="192"/>
      <c r="H9" s="20"/>
      <c r="I9" s="191"/>
      <c r="J9" s="192"/>
      <c r="K9" s="191"/>
      <c r="L9" s="192"/>
      <c r="M9" s="19"/>
      <c r="N9" s="193"/>
      <c r="O9" s="18"/>
      <c r="P9" s="218"/>
      <c r="R9" s="305"/>
    </row>
    <row r="10" spans="2:20" ht="7.5" customHeight="1" x14ac:dyDescent="0.25"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319"/>
      <c r="R10" s="306"/>
    </row>
    <row r="11" spans="2:20" ht="7.5" customHeight="1" thickBot="1" x14ac:dyDescent="0.3"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319"/>
      <c r="R11" s="306"/>
    </row>
    <row r="12" spans="2:20" ht="7.5" customHeight="1" x14ac:dyDescent="0.25">
      <c r="B12" s="194">
        <v>98</v>
      </c>
      <c r="C12" s="195">
        <f>VLOOKUP(B12,tDatos[],IF(UTCElegido="",3,12),0)</f>
        <v>46213</v>
      </c>
      <c r="D12" s="197">
        <f>VLOOKUP(B12,tDatos[],IF(UTCElegido="",4,12),0)</f>
        <v>0.625</v>
      </c>
      <c r="E12" s="27" t="str">
        <f>IF(F12="","vacía",SUBSTITUTE(F12," ","_"))</f>
        <v>ESPAÑA</v>
      </c>
      <c r="F12" s="198" t="str">
        <f>IF($T$6=16,VLOOKUP(B12,tDatos[],5,0),"")</f>
        <v>ESPAÑA</v>
      </c>
      <c r="G12" s="192" t="str">
        <f>IF(AND(I12&lt;&gt;"",K12&lt;&gt;""),IF(I12=K12,"E",IF(I12&gt;K12,"G","P")),"")</f>
        <v>G</v>
      </c>
      <c r="H12" s="20"/>
      <c r="I12" s="190">
        <v>2</v>
      </c>
      <c r="J12" s="192" t="s">
        <v>0</v>
      </c>
      <c r="K12" s="190">
        <v>1</v>
      </c>
      <c r="L12" s="192" t="str">
        <f>IF(AND(K12&lt;&gt;"",I12&lt;&gt;""),IF(K12=I12,"E",IF(K12&gt;I12,"G","P")),"")</f>
        <v>P</v>
      </c>
      <c r="M12" s="19"/>
      <c r="N12" s="193" t="str">
        <f>IF($T$6=16,VLOOKUP(B12,tDatos[],6,0),"")</f>
        <v>BÉLGICA</v>
      </c>
      <c r="O12" s="27" t="str">
        <f>IF(N12="","vacía",SUBSTITUTE(N12," ","_"))</f>
        <v>BÉLGICA</v>
      </c>
      <c r="P12" s="218" t="str">
        <f>VLOOKUP(B12,tDatos[],9,0)</f>
        <v>Los Angeles</v>
      </c>
      <c r="R12" s="304" t="str">
        <f>IF(G12="","",IF(G12="E","Suma los penales",IF(G12="G",F12,N12)))</f>
        <v>ESPAÑA</v>
      </c>
    </row>
    <row r="13" spans="2:20" ht="7.5" customHeight="1" thickBot="1" x14ac:dyDescent="0.3">
      <c r="B13" s="194"/>
      <c r="C13" s="196"/>
      <c r="D13" s="196"/>
      <c r="E13" s="18"/>
      <c r="F13" s="198"/>
      <c r="G13" s="192"/>
      <c r="H13" s="20"/>
      <c r="I13" s="191"/>
      <c r="J13" s="192"/>
      <c r="K13" s="191"/>
      <c r="L13" s="192"/>
      <c r="M13" s="19"/>
      <c r="N13" s="193"/>
      <c r="O13" s="18"/>
      <c r="P13" s="218"/>
      <c r="R13" s="305"/>
    </row>
    <row r="14" spans="2:20" ht="7.5" customHeight="1" x14ac:dyDescent="0.25"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319"/>
      <c r="R14" s="306"/>
    </row>
    <row r="15" spans="2:20" ht="7.5" customHeight="1" thickBot="1" x14ac:dyDescent="0.3"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319"/>
      <c r="R15" s="306"/>
    </row>
    <row r="16" spans="2:20" ht="7.5" customHeight="1" x14ac:dyDescent="0.25">
      <c r="B16" s="194">
        <v>99</v>
      </c>
      <c r="C16" s="195">
        <f>VLOOKUP(B16,tDatos[],IF(UTCElegido="",3,12),0)</f>
        <v>46214</v>
      </c>
      <c r="D16" s="197">
        <f>VLOOKUP(B16,tDatos[],IF(UTCElegido="",4,12),0)</f>
        <v>0.70833333333575865</v>
      </c>
      <c r="E16" s="27" t="str">
        <f>IF(F16="","vacía",SUBSTITUTE(F16," ","_"))</f>
        <v>NORUEGA</v>
      </c>
      <c r="F16" s="198" t="str">
        <f>IF($T$6=16,VLOOKUP(B16,tDatos[],5,0),"")</f>
        <v>NORUEGA</v>
      </c>
      <c r="G16" s="192" t="str">
        <f>IF(AND(I16&lt;&gt;"",K16&lt;&gt;""),IF(I16=K16,"E",IF(I16&gt;K16,"G","P")),"")</f>
        <v>P</v>
      </c>
      <c r="H16" s="20"/>
      <c r="I16" s="190">
        <v>1</v>
      </c>
      <c r="J16" s="192" t="s">
        <v>0</v>
      </c>
      <c r="K16" s="190">
        <v>2</v>
      </c>
      <c r="L16" s="192" t="str">
        <f>IF(AND(K16&lt;&gt;"",I16&lt;&gt;""),IF(K16=I16,"E",IF(K16&gt;I16,"G","P")),"")</f>
        <v>G</v>
      </c>
      <c r="M16" s="19"/>
      <c r="N16" s="193" t="str">
        <f>IF($T$6=16,VLOOKUP(B16,tDatos[],6,0),"")</f>
        <v>INGLATERRA</v>
      </c>
      <c r="O16" s="27" t="str">
        <f>IF(N16="","vacía",SUBSTITUTE(N16," ","_"))</f>
        <v>INGLATERRA</v>
      </c>
      <c r="P16" s="218" t="str">
        <f>VLOOKUP(B16,tDatos[],9,0)</f>
        <v>Miami</v>
      </c>
      <c r="R16" s="304" t="str">
        <f>IF(G16="","",IF(G16="E","Suma los penales",IF(G16="G",F16,N16)))</f>
        <v>INGLATERRA</v>
      </c>
    </row>
    <row r="17" spans="2:18" ht="7.5" customHeight="1" thickBot="1" x14ac:dyDescent="0.3">
      <c r="B17" s="194"/>
      <c r="C17" s="196"/>
      <c r="D17" s="196"/>
      <c r="E17" s="18"/>
      <c r="F17" s="198"/>
      <c r="G17" s="192"/>
      <c r="H17" s="20"/>
      <c r="I17" s="191"/>
      <c r="J17" s="192"/>
      <c r="K17" s="191"/>
      <c r="L17" s="192"/>
      <c r="M17" s="19"/>
      <c r="N17" s="193"/>
      <c r="O17" s="18"/>
      <c r="P17" s="218"/>
      <c r="R17" s="305"/>
    </row>
    <row r="18" spans="2:18" ht="7.5" customHeight="1" x14ac:dyDescent="0.25"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319"/>
      <c r="R18" s="306"/>
    </row>
    <row r="19" spans="2:18" ht="7.5" customHeight="1" thickBot="1" x14ac:dyDescent="0.3"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319"/>
      <c r="R19" s="306"/>
    </row>
    <row r="20" spans="2:18" ht="7.5" customHeight="1" x14ac:dyDescent="0.25">
      <c r="B20" s="194">
        <v>100</v>
      </c>
      <c r="C20" s="195">
        <f>VLOOKUP(B20,tDatos[],IF(UTCElegido="",3,12),0)</f>
        <v>46214</v>
      </c>
      <c r="D20" s="197">
        <f>VLOOKUP(B20,tDatos[],IF(UTCElegido="",4,12),0)</f>
        <v>0.875</v>
      </c>
      <c r="E20" s="27" t="str">
        <f>IF(F20="","vacía",SUBSTITUTE(F20," ","_"))</f>
        <v>ARGENTINA</v>
      </c>
      <c r="F20" s="198" t="str">
        <f>IF($T$6=16,VLOOKUP(B20,tDatos[],5,0),"")</f>
        <v>ARGENTINA</v>
      </c>
      <c r="G20" s="192" t="str">
        <f>IF(AND(I20&lt;&gt;"",K20&lt;&gt;""),IF(I20=K20,"E",IF(I20&gt;K20,"G","P")),"")</f>
        <v>G</v>
      </c>
      <c r="H20" s="20"/>
      <c r="I20" s="190">
        <v>3</v>
      </c>
      <c r="J20" s="192" t="s">
        <v>0</v>
      </c>
      <c r="K20" s="190">
        <v>1</v>
      </c>
      <c r="L20" s="192" t="str">
        <f>IF(AND(K20&lt;&gt;"",I20&lt;&gt;""),IF(K20=I20,"E",IF(K20&gt;I20,"G","P")),"")</f>
        <v>P</v>
      </c>
      <c r="M20" s="19"/>
      <c r="N20" s="193" t="str">
        <f>IF($T$6=16,VLOOKUP(B20,tDatos[],6,0),"")</f>
        <v>SUIZA</v>
      </c>
      <c r="O20" s="27" t="str">
        <f>IF(N20="","vacía",SUBSTITUTE(N20," ","_"))</f>
        <v>SUIZA</v>
      </c>
      <c r="P20" s="218" t="str">
        <f>VLOOKUP(B20,tDatos[],9,0)</f>
        <v>Kansas City</v>
      </c>
      <c r="R20" s="304" t="str">
        <f>IF(G20="","",IF(G20="E","Suma los penales",IF(G20="G",F20,N20)))</f>
        <v>ARGENTINA</v>
      </c>
    </row>
    <row r="21" spans="2:18" ht="7.5" customHeight="1" thickBot="1" x14ac:dyDescent="0.3">
      <c r="B21" s="194"/>
      <c r="C21" s="196"/>
      <c r="D21" s="196"/>
      <c r="E21" s="18"/>
      <c r="F21" s="198"/>
      <c r="G21" s="192"/>
      <c r="H21" s="20"/>
      <c r="I21" s="191"/>
      <c r="J21" s="192"/>
      <c r="K21" s="191"/>
      <c r="L21" s="192"/>
      <c r="M21" s="19"/>
      <c r="N21" s="193"/>
      <c r="O21" s="18"/>
      <c r="P21" s="218"/>
      <c r="R21" s="305"/>
    </row>
    <row r="22" spans="2:18" ht="3.95" customHeight="1" x14ac:dyDescent="0.25">
      <c r="B22" s="21"/>
      <c r="C22" s="22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1"/>
    </row>
    <row r="23" spans="2:18" ht="3.6" customHeight="1" x14ac:dyDescent="0.25"/>
    <row r="24" spans="2:18" ht="7.5" customHeight="1" x14ac:dyDescent="0.25"/>
    <row r="25" spans="2:18" ht="7.5" customHeight="1" x14ac:dyDescent="0.25"/>
    <row r="26" spans="2:18" ht="7.5" customHeight="1" x14ac:dyDescent="0.25"/>
  </sheetData>
  <sheetProtection sheet="1" objects="1" scenarios="1"/>
  <mergeCells count="79">
    <mergeCell ref="R18:R19"/>
    <mergeCell ref="R20:R21"/>
    <mergeCell ref="R8:R9"/>
    <mergeCell ref="R10:R11"/>
    <mergeCell ref="R12:R13"/>
    <mergeCell ref="R14:R15"/>
    <mergeCell ref="R16:R17"/>
    <mergeCell ref="L20:L21"/>
    <mergeCell ref="N20:N21"/>
    <mergeCell ref="P20:P21"/>
    <mergeCell ref="D20:D21"/>
    <mergeCell ref="F20:F21"/>
    <mergeCell ref="G20:G21"/>
    <mergeCell ref="I20:I21"/>
    <mergeCell ref="J20:J21"/>
    <mergeCell ref="K20:K21"/>
    <mergeCell ref="P16:P17"/>
    <mergeCell ref="D18:D19"/>
    <mergeCell ref="F18:F19"/>
    <mergeCell ref="I18:I19"/>
    <mergeCell ref="J18:J19"/>
    <mergeCell ref="K18:K19"/>
    <mergeCell ref="N18:N19"/>
    <mergeCell ref="P18:P19"/>
    <mergeCell ref="I16:I17"/>
    <mergeCell ref="J16:J17"/>
    <mergeCell ref="K16:K17"/>
    <mergeCell ref="L16:L17"/>
    <mergeCell ref="N16:N17"/>
    <mergeCell ref="D14:D15"/>
    <mergeCell ref="F14:F15"/>
    <mergeCell ref="D16:D17"/>
    <mergeCell ref="F16:F17"/>
    <mergeCell ref="G16:G17"/>
    <mergeCell ref="D12:D13"/>
    <mergeCell ref="F12:F13"/>
    <mergeCell ref="G12:G13"/>
    <mergeCell ref="I12:I13"/>
    <mergeCell ref="J12:J13"/>
    <mergeCell ref="L8:L9"/>
    <mergeCell ref="N8:N9"/>
    <mergeCell ref="P8:P9"/>
    <mergeCell ref="I14:I15"/>
    <mergeCell ref="J14:J15"/>
    <mergeCell ref="K14:K15"/>
    <mergeCell ref="N10:N11"/>
    <mergeCell ref="P10:P11"/>
    <mergeCell ref="L12:L13"/>
    <mergeCell ref="N12:N13"/>
    <mergeCell ref="P12:P13"/>
    <mergeCell ref="N14:N15"/>
    <mergeCell ref="P14:P15"/>
    <mergeCell ref="K12:K13"/>
    <mergeCell ref="F10:F11"/>
    <mergeCell ref="I10:I11"/>
    <mergeCell ref="J10:J11"/>
    <mergeCell ref="K10:K11"/>
    <mergeCell ref="D8:D9"/>
    <mergeCell ref="F8:F9"/>
    <mergeCell ref="G8:G9"/>
    <mergeCell ref="I8:I9"/>
    <mergeCell ref="J8:J9"/>
    <mergeCell ref="K8:K9"/>
    <mergeCell ref="B20:B21"/>
    <mergeCell ref="C20:C21"/>
    <mergeCell ref="E6:O6"/>
    <mergeCell ref="B14:B15"/>
    <mergeCell ref="C14:C15"/>
    <mergeCell ref="B16:B17"/>
    <mergeCell ref="C16:C17"/>
    <mergeCell ref="B18:B19"/>
    <mergeCell ref="C18:C19"/>
    <mergeCell ref="B8:B9"/>
    <mergeCell ref="C8:C9"/>
    <mergeCell ref="B10:B11"/>
    <mergeCell ref="C10:C11"/>
    <mergeCell ref="B12:B13"/>
    <mergeCell ref="C12:C13"/>
    <mergeCell ref="D10:D11"/>
  </mergeCells>
  <conditionalFormatting sqref="R8:R9">
    <cfRule type="cellIs" dxfId="8" priority="6" operator="equal">
      <formula>"Suma los penales"</formula>
    </cfRule>
  </conditionalFormatting>
  <conditionalFormatting sqref="R12:R13">
    <cfRule type="cellIs" dxfId="7" priority="3" operator="equal">
      <formula>"Suma los penales"</formula>
    </cfRule>
  </conditionalFormatting>
  <conditionalFormatting sqref="R16:R17">
    <cfRule type="cellIs" dxfId="6" priority="2" operator="equal">
      <formula>"Suma los penales"</formula>
    </cfRule>
  </conditionalFormatting>
  <conditionalFormatting sqref="R20:R21">
    <cfRule type="cellIs" dxfId="5" priority="1" operator="equal">
      <formula>"Suma los penales"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B1:V14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0.7109375" customWidth="1"/>
    <col min="7" max="7" width="2.2851562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2.28515625" hidden="1" customWidth="1"/>
    <col min="13" max="13" width="0.85546875" customWidth="1"/>
    <col min="14" max="14" width="20.7109375" customWidth="1"/>
    <col min="15" max="15" width="0.85546875" customWidth="1"/>
    <col min="16" max="16" width="14.7109375" customWidth="1"/>
    <col min="17" max="17" width="0.85546875" customWidth="1"/>
    <col min="18" max="18" width="19.5703125" customWidth="1"/>
    <col min="19" max="19" width="0.85546875" hidden="1" customWidth="1"/>
    <col min="20" max="20" width="22.85546875" hidden="1" customWidth="1"/>
    <col min="22" max="22" width="12.7109375" hidden="1" customWidth="1"/>
  </cols>
  <sheetData>
    <row r="1" spans="2:22" ht="25.5" customHeight="1" x14ac:dyDescent="0.25">
      <c r="T1" s="11"/>
    </row>
    <row r="2" spans="2:22" ht="35.25" customHeight="1" x14ac:dyDescent="0.25"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4" spans="2:22" ht="15" customHeight="1" x14ac:dyDescent="0.25">
      <c r="N4" s="2"/>
    </row>
    <row r="5" spans="2:22" ht="18" customHeight="1" thickBot="1" x14ac:dyDescent="0.3">
      <c r="B5" s="28" t="s">
        <v>61</v>
      </c>
      <c r="N5" s="2"/>
    </row>
    <row r="6" spans="2:22" ht="18" customHeight="1" thickBot="1" x14ac:dyDescent="0.3">
      <c r="B6" s="35" t="s">
        <v>81</v>
      </c>
      <c r="C6" s="36" t="s">
        <v>27</v>
      </c>
      <c r="D6" s="36" t="s">
        <v>28</v>
      </c>
      <c r="E6" s="189" t="s">
        <v>21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R6" s="50" t="s">
        <v>36</v>
      </c>
      <c r="V6">
        <v>8</v>
      </c>
    </row>
    <row r="7" spans="2:22" ht="3.95" customHeight="1" thickBot="1" x14ac:dyDescent="0.3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</row>
    <row r="8" spans="2:22" ht="7.5" customHeight="1" x14ac:dyDescent="0.25">
      <c r="B8" s="194">
        <v>101</v>
      </c>
      <c r="C8" s="195">
        <f>VLOOKUP(B8,tDatos[],IF(UTCElegido="",3,12),0)</f>
        <v>46217</v>
      </c>
      <c r="D8" s="197">
        <f>VLOOKUP(B8,tDatos[],IF(UTCElegido="",4,12),0)</f>
        <v>0.625</v>
      </c>
      <c r="E8" s="27" t="str">
        <f>IF(F8="","vacía",SUBSTITUTE(F8," ","_"))</f>
        <v>FRANCIA</v>
      </c>
      <c r="F8" s="198" t="str">
        <f>IF($V$6=8,VLOOKUP(B8,tDatos[],5,0),"")</f>
        <v>FRANCIA</v>
      </c>
      <c r="G8" s="192" t="str">
        <f>IF(AND(I8&lt;&gt;"",K8&lt;&gt;""),IF(I8=K8,"E",IF(I8&gt;K8,"G","P")),"")</f>
        <v>P</v>
      </c>
      <c r="H8" s="20"/>
      <c r="I8" s="190">
        <v>0</v>
      </c>
      <c r="J8" s="192" t="s">
        <v>0</v>
      </c>
      <c r="K8" s="190">
        <v>2</v>
      </c>
      <c r="L8" s="192" t="str">
        <f>IF(AND(K8&lt;&gt;"",I8&lt;&gt;""),IF(K8=I8,"E",IF(K8&gt;I8,"G","P")),"")</f>
        <v>G</v>
      </c>
      <c r="M8" s="19"/>
      <c r="N8" s="193" t="str">
        <f>IF($V$6=8,VLOOKUP(B8,tDatos[],6,0),"")</f>
        <v>ESPAÑA</v>
      </c>
      <c r="O8" s="27" t="str">
        <f>IF(N8="","vacía",SUBSTITUTE(N8," ","_"))</f>
        <v>ESPAÑA</v>
      </c>
      <c r="P8" s="218" t="str">
        <f>VLOOKUP(B8,tDatos[],9,0)</f>
        <v>Dallas</v>
      </c>
      <c r="R8" s="304" t="str">
        <f>IF(G8="","",IF(G8="E","Suma los penales",IF(G8="G",F8,N8)))</f>
        <v>ESPAÑA</v>
      </c>
      <c r="T8" s="263" t="str">
        <f>IF(OR(G8="",G8="E"),"",IF(G8="P",F8,N8))</f>
        <v>FRANCIA</v>
      </c>
    </row>
    <row r="9" spans="2:22" ht="7.5" customHeight="1" thickBot="1" x14ac:dyDescent="0.3">
      <c r="B9" s="194"/>
      <c r="C9" s="196"/>
      <c r="D9" s="196"/>
      <c r="E9" s="29"/>
      <c r="F9" s="198"/>
      <c r="G9" s="192"/>
      <c r="H9" s="20"/>
      <c r="I9" s="191"/>
      <c r="J9" s="192"/>
      <c r="K9" s="191"/>
      <c r="L9" s="192"/>
      <c r="M9" s="19"/>
      <c r="N9" s="193"/>
      <c r="O9" s="29"/>
      <c r="P9" s="218"/>
      <c r="R9" s="305"/>
      <c r="T9" s="263"/>
    </row>
    <row r="10" spans="2:22" ht="7.5" customHeight="1" x14ac:dyDescent="0.25">
      <c r="B10" s="194"/>
      <c r="C10" s="230"/>
      <c r="D10" s="231"/>
      <c r="E10" s="29"/>
      <c r="F10" s="232"/>
      <c r="G10" s="18"/>
      <c r="H10" s="18"/>
      <c r="I10" s="192"/>
      <c r="J10" s="192"/>
      <c r="K10" s="192"/>
      <c r="L10" s="18"/>
      <c r="M10" s="18"/>
      <c r="N10" s="232"/>
      <c r="O10" s="29"/>
      <c r="P10" s="236"/>
      <c r="R10" s="306"/>
    </row>
    <row r="11" spans="2:22" ht="7.5" customHeight="1" thickBot="1" x14ac:dyDescent="0.3">
      <c r="B11" s="194"/>
      <c r="C11" s="230"/>
      <c r="D11" s="231"/>
      <c r="E11" s="29"/>
      <c r="F11" s="232"/>
      <c r="G11" s="18"/>
      <c r="H11" s="18"/>
      <c r="I11" s="192"/>
      <c r="J11" s="192"/>
      <c r="K11" s="192"/>
      <c r="L11" s="18"/>
      <c r="M11" s="18"/>
      <c r="N11" s="232"/>
      <c r="O11" s="29"/>
      <c r="P11" s="236"/>
      <c r="R11" s="306"/>
    </row>
    <row r="12" spans="2:22" ht="7.5" customHeight="1" x14ac:dyDescent="0.25">
      <c r="B12" s="194">
        <v>102</v>
      </c>
      <c r="C12" s="195">
        <f>VLOOKUP(B12,tDatos[],IF(UTCElegido="",3,12),0)</f>
        <v>46218</v>
      </c>
      <c r="D12" s="197">
        <f>VLOOKUP(B12,tDatos[],IF(UTCElegido="",4,12),0)</f>
        <v>0.625</v>
      </c>
      <c r="E12" s="27" t="str">
        <f>IF(F12="","vacía",SUBSTITUTE(F12," ","_"))</f>
        <v>INGLATERRA</v>
      </c>
      <c r="F12" s="198" t="str">
        <f>IF($V$6=8,VLOOKUP(B12,tDatos[],5,0),"")</f>
        <v>INGLATERRA</v>
      </c>
      <c r="G12" s="192" t="str">
        <f>IF(AND(I12&lt;&gt;"",K12&lt;&gt;""),IF(I12=K12,"E",IF(I12&gt;K12,"G","P")),"")</f>
        <v>P</v>
      </c>
      <c r="H12" s="20"/>
      <c r="I12" s="190">
        <v>1</v>
      </c>
      <c r="J12" s="192" t="s">
        <v>0</v>
      </c>
      <c r="K12" s="190">
        <v>2</v>
      </c>
      <c r="L12" s="192" t="str">
        <f>IF(AND(K12&lt;&gt;"",I12&lt;&gt;""),IF(K12=I12,"E",IF(K12&gt;I12,"G","P")),"")</f>
        <v>G</v>
      </c>
      <c r="M12" s="19"/>
      <c r="N12" s="193" t="str">
        <f>IF($V$6=8,VLOOKUP(B12,tDatos[],6,0),"")</f>
        <v>ARGENTINA</v>
      </c>
      <c r="O12" s="27" t="str">
        <f>IF(N12="","vacía",SUBSTITUTE(N12," ","_"))</f>
        <v>ARGENTINA</v>
      </c>
      <c r="P12" s="218" t="str">
        <f>VLOOKUP(B12,tDatos[],9,0)</f>
        <v>Atlanta</v>
      </c>
      <c r="R12" s="304" t="str">
        <f>IF(G12="","",IF(G12="E","Suma los penales",IF(G12="G",F12,N12)))</f>
        <v>ARGENTINA</v>
      </c>
      <c r="T12" s="263" t="str">
        <f>IF(OR(G12="",G12="E"),"",IF(G12="P",F12,N12))</f>
        <v>INGLATERRA</v>
      </c>
    </row>
    <row r="13" spans="2:22" ht="7.5" customHeight="1" thickBot="1" x14ac:dyDescent="0.3">
      <c r="B13" s="194"/>
      <c r="C13" s="196"/>
      <c r="D13" s="196"/>
      <c r="E13" s="29"/>
      <c r="F13" s="198"/>
      <c r="G13" s="192"/>
      <c r="H13" s="20"/>
      <c r="I13" s="191"/>
      <c r="J13" s="192"/>
      <c r="K13" s="191"/>
      <c r="L13" s="192"/>
      <c r="M13" s="19"/>
      <c r="N13" s="193"/>
      <c r="O13" s="29"/>
      <c r="P13" s="218"/>
      <c r="R13" s="305"/>
      <c r="T13" s="263"/>
    </row>
    <row r="14" spans="2:22" ht="3.95" customHeight="1" x14ac:dyDescent="0.25">
      <c r="B14" s="21"/>
      <c r="C14" s="22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1"/>
    </row>
  </sheetData>
  <sheetProtection sheet="1" objects="1" scenarios="1"/>
  <mergeCells count="37">
    <mergeCell ref="R8:R9"/>
    <mergeCell ref="R10:R11"/>
    <mergeCell ref="R12:R13"/>
    <mergeCell ref="K8:K9"/>
    <mergeCell ref="L8:L9"/>
    <mergeCell ref="N8:N9"/>
    <mergeCell ref="P8:P9"/>
    <mergeCell ref="E6:O6"/>
    <mergeCell ref="G12:G13"/>
    <mergeCell ref="I12:I13"/>
    <mergeCell ref="J12:J13"/>
    <mergeCell ref="N10:N11"/>
    <mergeCell ref="K12:K13"/>
    <mergeCell ref="L12:L13"/>
    <mergeCell ref="N12:N13"/>
    <mergeCell ref="T8:T9"/>
    <mergeCell ref="P10:P11"/>
    <mergeCell ref="T12:T13"/>
    <mergeCell ref="D10:D11"/>
    <mergeCell ref="F10:F11"/>
    <mergeCell ref="I10:I11"/>
    <mergeCell ref="J10:J11"/>
    <mergeCell ref="K10:K11"/>
    <mergeCell ref="D12:D13"/>
    <mergeCell ref="F12:F13"/>
    <mergeCell ref="D8:D9"/>
    <mergeCell ref="F8:F9"/>
    <mergeCell ref="G8:G9"/>
    <mergeCell ref="I8:I9"/>
    <mergeCell ref="J8:J9"/>
    <mergeCell ref="P12:P13"/>
    <mergeCell ref="B8:B9"/>
    <mergeCell ref="C8:C9"/>
    <mergeCell ref="B10:B11"/>
    <mergeCell ref="C10:C11"/>
    <mergeCell ref="B12:B13"/>
    <mergeCell ref="C12:C13"/>
  </mergeCells>
  <conditionalFormatting sqref="R8:R9">
    <cfRule type="cellIs" dxfId="4" priority="2" operator="equal">
      <formula>"Suma los penales"</formula>
    </cfRule>
  </conditionalFormatting>
  <conditionalFormatting sqref="R12:R13">
    <cfRule type="cellIs" dxfId="3" priority="1" operator="equal">
      <formula>"Suma los penales"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/>
  <dimension ref="B1:V24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0.7109375" customWidth="1"/>
    <col min="7" max="7" width="2.2851562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2.28515625" hidden="1" customWidth="1"/>
    <col min="13" max="13" width="0.85546875" customWidth="1"/>
    <col min="14" max="14" width="20.7109375" customWidth="1"/>
    <col min="15" max="15" width="0.85546875" customWidth="1"/>
    <col min="16" max="16" width="14.7109375" customWidth="1"/>
    <col min="17" max="17" width="0.85546875" customWidth="1"/>
    <col min="18" max="18" width="22.85546875" bestFit="1" customWidth="1"/>
    <col min="19" max="19" width="0.85546875" customWidth="1"/>
    <col min="20" max="20" width="22.85546875" customWidth="1"/>
    <col min="22" max="22" width="12.7109375" hidden="1" customWidth="1"/>
    <col min="23" max="23" width="8.85546875" bestFit="1" customWidth="1"/>
  </cols>
  <sheetData>
    <row r="1" spans="2:22" ht="25.5" customHeight="1" x14ac:dyDescent="0.25">
      <c r="T1" s="11"/>
    </row>
    <row r="2" spans="2:22" ht="35.25" customHeight="1" x14ac:dyDescent="0.25">
      <c r="D2" s="9"/>
      <c r="E2" s="10"/>
      <c r="F2" s="10"/>
      <c r="G2" s="10"/>
      <c r="H2" s="10"/>
      <c r="I2" s="10"/>
      <c r="J2" s="10"/>
      <c r="K2" s="10"/>
      <c r="L2" s="10"/>
      <c r="M2" s="10"/>
      <c r="N2" s="2"/>
      <c r="O2" s="10"/>
      <c r="P2" s="10"/>
      <c r="Q2" s="10"/>
    </row>
    <row r="4" spans="2:22" ht="15" customHeight="1" x14ac:dyDescent="0.25"/>
    <row r="5" spans="2:22" ht="18" customHeight="1" thickBot="1" x14ac:dyDescent="0.3">
      <c r="B5" s="28" t="s">
        <v>61</v>
      </c>
    </row>
    <row r="6" spans="2:22" ht="18" customHeight="1" x14ac:dyDescent="0.25">
      <c r="B6" s="35" t="s">
        <v>81</v>
      </c>
      <c r="C6" s="36" t="s">
        <v>80</v>
      </c>
      <c r="D6" s="36" t="s">
        <v>79</v>
      </c>
      <c r="E6" s="189" t="s">
        <v>23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78</v>
      </c>
      <c r="Q6" s="30"/>
      <c r="R6" s="48" t="s">
        <v>22</v>
      </c>
      <c r="T6" s="49" t="s">
        <v>24</v>
      </c>
      <c r="V6">
        <v>4</v>
      </c>
    </row>
    <row r="7" spans="2:22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R7" s="199" t="str">
        <f>IF(G8="","",IF(G8="E","Suma los penales",IF(G8="G",F8,N8)))</f>
        <v>INGLATERRA</v>
      </c>
      <c r="T7" s="213" t="str">
        <f>IF(G8="","",IF(G8="E","Suma los penales",IF(G8="P",F8,N8)))</f>
        <v>FRANCIA</v>
      </c>
    </row>
    <row r="8" spans="2:22" ht="7.5" customHeight="1" x14ac:dyDescent="0.25">
      <c r="B8" s="194">
        <v>103</v>
      </c>
      <c r="C8" s="195">
        <f>VLOOKUP(B8,tDatos[],IF(UTCElegido="",3,12),0)</f>
        <v>46221</v>
      </c>
      <c r="D8" s="197">
        <f>VLOOKUP(B8,tDatos[],IF(UTCElegido="",4,12),0)</f>
        <v>0.70833333333575865</v>
      </c>
      <c r="E8" s="27" t="str">
        <f>IF(F8="","vacía",SUBSTITUTE(F8," ","_"))</f>
        <v>FRANCIA</v>
      </c>
      <c r="F8" s="198" t="str">
        <f>IF($V$6=4,VLOOKUP(B8,tDatos[],5,0),"")</f>
        <v>FRANCIA</v>
      </c>
      <c r="G8" s="192" t="str">
        <f>IF(AND(I8&lt;&gt;"",K8&lt;&gt;""),IF(I8=K8,"E",IF(I8&gt;K8,"G","P")),"")</f>
        <v>P</v>
      </c>
      <c r="H8" s="20"/>
      <c r="I8" s="190">
        <v>4</v>
      </c>
      <c r="J8" s="192" t="s">
        <v>0</v>
      </c>
      <c r="K8" s="190">
        <v>6</v>
      </c>
      <c r="L8" s="192" t="str">
        <f>IF(AND(K8&lt;&gt;"",I8&lt;&gt;""),IF(K8=I8,"E",IF(K8&gt;I8,"G","P")),"")</f>
        <v>G</v>
      </c>
      <c r="M8" s="19"/>
      <c r="N8" s="193" t="str">
        <f>IF($V$6=4,VLOOKUP(B8,tDatos[],6,0),"")</f>
        <v>INGLATERRA</v>
      </c>
      <c r="O8" s="27" t="str">
        <f>IF(N8="","vacía",SUBSTITUTE(N8," ","_"))</f>
        <v>INGLATERRA</v>
      </c>
      <c r="P8" s="218" t="str">
        <f>VLOOKUP(B8,tDatos[],9,0)</f>
        <v>Miami</v>
      </c>
      <c r="R8" s="199"/>
      <c r="T8" s="213"/>
    </row>
    <row r="9" spans="2:22" ht="7.5" customHeight="1" x14ac:dyDescent="0.25">
      <c r="B9" s="194"/>
      <c r="C9" s="196"/>
      <c r="D9" s="196"/>
      <c r="E9" s="29"/>
      <c r="F9" s="198"/>
      <c r="G9" s="192"/>
      <c r="H9" s="20"/>
      <c r="I9" s="191"/>
      <c r="J9" s="192"/>
      <c r="K9" s="191"/>
      <c r="L9" s="192"/>
      <c r="M9" s="19"/>
      <c r="N9" s="193"/>
      <c r="O9" s="29"/>
      <c r="P9" s="218"/>
      <c r="R9" s="199"/>
      <c r="T9" s="213"/>
    </row>
    <row r="10" spans="2:22" ht="3.95" customHeight="1" thickBot="1" x14ac:dyDescent="0.3">
      <c r="B10" s="21"/>
      <c r="C10" s="22"/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1"/>
      <c r="R10" s="200"/>
      <c r="T10" s="214"/>
    </row>
    <row r="11" spans="2:22" ht="7.5" customHeight="1" x14ac:dyDescent="0.25"/>
    <row r="12" spans="2:22" ht="7.5" customHeight="1" thickBot="1" x14ac:dyDescent="0.3"/>
    <row r="13" spans="2:22" ht="18" customHeight="1" x14ac:dyDescent="0.25">
      <c r="B13" s="35" t="s">
        <v>81</v>
      </c>
      <c r="C13" s="36" t="s">
        <v>80</v>
      </c>
      <c r="D13" s="36" t="s">
        <v>79</v>
      </c>
      <c r="E13" s="189" t="s">
        <v>26</v>
      </c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37" t="s">
        <v>78</v>
      </c>
      <c r="R13" s="48" t="s">
        <v>25</v>
      </c>
      <c r="V13" t="str">
        <f>IF(G15="","",IF(G15="E","",IF(G15="G",F15,N15)))</f>
        <v>ESPAÑA</v>
      </c>
    </row>
    <row r="14" spans="2:22" ht="3.95" customHeight="1" x14ac:dyDescent="0.25"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5"/>
      <c r="R14" s="215" t="str">
        <f>IF(G15="","",IF(G15="E","Suma los penales",IF(G15="P",F15,N15)))</f>
        <v>ARGENTINA</v>
      </c>
    </row>
    <row r="15" spans="2:22" ht="7.5" customHeight="1" x14ac:dyDescent="0.25">
      <c r="B15" s="194">
        <v>104</v>
      </c>
      <c r="C15" s="195">
        <f>VLOOKUP(B15,tDatos[],IF(UTCElegido="",3,12),0)</f>
        <v>46222</v>
      </c>
      <c r="D15" s="197">
        <f>VLOOKUP(B15,tDatos[],IF(UTCElegido="",4,12),0)</f>
        <v>0.625</v>
      </c>
      <c r="E15" s="27" t="str">
        <f>IF(F15="","vacía",SUBSTITUTE(F15," ","_"))</f>
        <v>ESPAÑA</v>
      </c>
      <c r="F15" s="198" t="str">
        <f>IF($V$6=4,VLOOKUP(B15,tDatos[],5,0),"")</f>
        <v>ESPAÑA</v>
      </c>
      <c r="G15" s="192" t="str">
        <f>IF(AND(I15&lt;&gt;"",K15&lt;&gt;""),IF(I15=K15,"E",IF(I15&gt;K15,"G","P")),"")</f>
        <v>G</v>
      </c>
      <c r="H15" s="20"/>
      <c r="I15" s="190">
        <v>1</v>
      </c>
      <c r="J15" s="192" t="s">
        <v>0</v>
      </c>
      <c r="K15" s="190">
        <v>0</v>
      </c>
      <c r="L15" s="192" t="str">
        <f>IF(AND(K15&lt;&gt;"",I15&lt;&gt;""),IF(K15=I15,"E",IF(K15&gt;I15,"G","P")),"")</f>
        <v>P</v>
      </c>
      <c r="M15" s="19"/>
      <c r="N15" s="193" t="str">
        <f>IF($V$6=4,VLOOKUP(B15,tDatos[],6,0),"")</f>
        <v>ARGENTINA</v>
      </c>
      <c r="O15" s="27" t="str">
        <f>IF(N15="","vacía",SUBSTITUTE(N15," ","_"))</f>
        <v>ARGENTINA</v>
      </c>
      <c r="P15" s="218" t="str">
        <f>VLOOKUP(B15,tDatos[],9,0)</f>
        <v>N. York/N. Jersey</v>
      </c>
      <c r="R15" s="216"/>
    </row>
    <row r="16" spans="2:22" ht="7.5" customHeight="1" x14ac:dyDescent="0.25">
      <c r="B16" s="194"/>
      <c r="C16" s="196"/>
      <c r="D16" s="196"/>
      <c r="E16" s="27" t="str">
        <f>IF(V13="","vacía",SUBSTITUTE(V13," ","_"))</f>
        <v>ESPAÑA</v>
      </c>
      <c r="F16" s="198"/>
      <c r="G16" s="192"/>
      <c r="H16" s="20"/>
      <c r="I16" s="191"/>
      <c r="J16" s="192"/>
      <c r="K16" s="191"/>
      <c r="L16" s="192"/>
      <c r="M16" s="19"/>
      <c r="N16" s="193"/>
      <c r="O16" s="29"/>
      <c r="P16" s="218"/>
      <c r="R16" s="216"/>
    </row>
    <row r="17" spans="2:18" ht="3.95" customHeight="1" thickBot="1" x14ac:dyDescent="0.3">
      <c r="B17" s="21"/>
      <c r="C17" s="22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1"/>
      <c r="R17" s="217"/>
    </row>
    <row r="18" spans="2:18" ht="3.6" customHeight="1" x14ac:dyDescent="0.25"/>
    <row r="19" spans="2:18" ht="7.5" customHeight="1" x14ac:dyDescent="0.25"/>
    <row r="20" spans="2:18" ht="7.5" customHeight="1" thickBot="1" x14ac:dyDescent="0.3"/>
    <row r="21" spans="2:18" ht="7.5" customHeight="1" x14ac:dyDescent="0.25">
      <c r="E21" s="201" t="s">
        <v>949</v>
      </c>
      <c r="F21" s="202"/>
      <c r="G21" s="202"/>
      <c r="H21" s="202"/>
      <c r="I21" s="202"/>
      <c r="J21" s="202"/>
      <c r="K21" s="202"/>
      <c r="L21" s="202"/>
      <c r="M21" s="202"/>
      <c r="N21" s="202"/>
      <c r="O21" s="203"/>
    </row>
    <row r="22" spans="2:18" ht="15" customHeight="1" x14ac:dyDescent="0.25"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6"/>
    </row>
    <row r="23" spans="2:18" ht="15" customHeight="1" x14ac:dyDescent="0.25">
      <c r="E23" s="207" t="str">
        <f>IF(V13="","","¡¡¡ "&amp;V13&amp;" !!!")</f>
        <v>¡¡¡ ESPAÑA !!!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9"/>
    </row>
    <row r="24" spans="2:18" ht="15" customHeight="1" thickBot="1" x14ac:dyDescent="0.3"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2"/>
    </row>
  </sheetData>
  <sheetProtection sheet="1" objects="1" scenarios="1"/>
  <mergeCells count="29">
    <mergeCell ref="R7:R10"/>
    <mergeCell ref="E21:O22"/>
    <mergeCell ref="E23:O24"/>
    <mergeCell ref="T7:T10"/>
    <mergeCell ref="R14:R17"/>
    <mergeCell ref="P15:P16"/>
    <mergeCell ref="P8:P9"/>
    <mergeCell ref="B8:B9"/>
    <mergeCell ref="C8:C9"/>
    <mergeCell ref="D8:D9"/>
    <mergeCell ref="F8:F9"/>
    <mergeCell ref="G8:G9"/>
    <mergeCell ref="B15:B16"/>
    <mergeCell ref="C15:C16"/>
    <mergeCell ref="D15:D16"/>
    <mergeCell ref="F15:F16"/>
    <mergeCell ref="G15:G16"/>
    <mergeCell ref="E6:O6"/>
    <mergeCell ref="E13:O13"/>
    <mergeCell ref="I15:I16"/>
    <mergeCell ref="J15:J16"/>
    <mergeCell ref="K15:K16"/>
    <mergeCell ref="L15:L16"/>
    <mergeCell ref="N15:N16"/>
    <mergeCell ref="I8:I9"/>
    <mergeCell ref="J8:J9"/>
    <mergeCell ref="K8:K9"/>
    <mergeCell ref="L8:L9"/>
    <mergeCell ref="N8:N9"/>
  </mergeCells>
  <conditionalFormatting sqref="I10">
    <cfRule type="expression" dxfId="2" priority="435">
      <formula>$R$7="Suma los penales"</formula>
    </cfRule>
  </conditionalFormatting>
  <conditionalFormatting sqref="R7 T7">
    <cfRule type="cellIs" dxfId="1" priority="4" operator="equal">
      <formula>"Suma los penales"</formula>
    </cfRule>
  </conditionalFormatting>
  <conditionalFormatting sqref="R14 E23">
    <cfRule type="cellIs" dxfId="0" priority="1" operator="equal">
      <formula>"Suma los penales"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BFC6-3234-4D71-A99B-CFBA6D06C1C6}">
  <sheetPr codeName="Hoja16"/>
  <dimension ref="B1:X448"/>
  <sheetViews>
    <sheetView showGridLines="0" showRowColHeaders="0" workbookViewId="0">
      <selection activeCell="G9" sqref="G9:H9"/>
    </sheetView>
  </sheetViews>
  <sheetFormatPr baseColWidth="10" defaultRowHeight="15.75" x14ac:dyDescent="0.25"/>
  <cols>
    <col min="1" max="1" width="32.5703125" style="51" customWidth="1"/>
    <col min="2" max="2" width="3.7109375" style="116" hidden="1" customWidth="1"/>
    <col min="3" max="3" width="3.7109375" style="116" customWidth="1"/>
    <col min="4" max="4" width="2.7109375" style="51" customWidth="1"/>
    <col min="5" max="5" width="6.140625" style="51" customWidth="1"/>
    <col min="6" max="6" width="19.140625" style="52" customWidth="1"/>
    <col min="7" max="7" width="4.7109375" style="51" customWidth="1"/>
    <col min="8" max="8" width="2.7109375" style="51" customWidth="1"/>
    <col min="9" max="10" width="3.28515625" style="51" customWidth="1"/>
    <col min="11" max="11" width="4.7109375" style="51" customWidth="1"/>
    <col min="12" max="12" width="19.140625" style="52" bestFit="1" customWidth="1"/>
    <col min="13" max="13" width="6.140625" style="51" customWidth="1"/>
    <col min="14" max="14" width="2.7109375" style="51" customWidth="1"/>
    <col min="15" max="15" width="3.7109375" style="51" customWidth="1"/>
    <col min="16" max="16" width="8.42578125" style="51" customWidth="1"/>
    <col min="17" max="16384" width="11.42578125" style="51"/>
  </cols>
  <sheetData>
    <row r="1" spans="2:24" customFormat="1" ht="25.5" customHeight="1" x14ac:dyDescent="0.25">
      <c r="B1" s="115"/>
      <c r="C1" s="115"/>
    </row>
    <row r="2" spans="2:24" customFormat="1" ht="35.25" customHeight="1" x14ac:dyDescent="0.25">
      <c r="B2" s="115"/>
      <c r="C2" s="115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2"/>
      <c r="S2" s="10"/>
      <c r="T2" s="10"/>
    </row>
    <row r="3" spans="2:24" customFormat="1" x14ac:dyDescent="0.25">
      <c r="B3" s="115"/>
      <c r="C3" s="115"/>
    </row>
    <row r="4" spans="2:24" customFormat="1" ht="15" customHeight="1" x14ac:dyDescent="0.25">
      <c r="B4" s="115"/>
      <c r="C4" s="115"/>
    </row>
    <row r="5" spans="2:24" customFormat="1" ht="18" customHeight="1" x14ac:dyDescent="0.25">
      <c r="B5" s="115"/>
      <c r="C5" s="115"/>
      <c r="D5" s="28" t="s">
        <v>61</v>
      </c>
    </row>
    <row r="6" spans="2:24" ht="21.95" customHeight="1" x14ac:dyDescent="0.25">
      <c r="D6" s="219" t="str">
        <f>TEXT(VLOOKUP(B8,tDatos[],IF(UTCElegido="",3,12),0),"dddd dd mmmm")</f>
        <v>jueves 11 Junio</v>
      </c>
      <c r="E6" s="219"/>
      <c r="F6" s="219"/>
      <c r="G6" s="219"/>
      <c r="H6" s="219"/>
      <c r="I6" s="219"/>
      <c r="J6" s="219"/>
      <c r="K6" s="219"/>
      <c r="L6" s="219"/>
      <c r="M6" s="219"/>
      <c r="N6" s="219"/>
    </row>
    <row r="7" spans="2:24" ht="5.0999999999999996" customHeight="1" x14ac:dyDescent="0.25">
      <c r="D7" s="74"/>
      <c r="E7" s="86"/>
      <c r="F7" s="73"/>
      <c r="G7" s="72"/>
      <c r="H7" s="72"/>
      <c r="I7" s="72"/>
      <c r="J7" s="72"/>
      <c r="K7" s="72"/>
      <c r="L7" s="73"/>
      <c r="M7" s="72"/>
      <c r="N7" s="71"/>
    </row>
    <row r="8" spans="2:24" s="97" customFormat="1" ht="21.95" customHeight="1" x14ac:dyDescent="0.25">
      <c r="B8" s="182">
        <v>1</v>
      </c>
      <c r="C8" s="129">
        <v>1</v>
      </c>
      <c r="D8" s="99"/>
      <c r="E8" s="222">
        <f>VLOOKUP(B8,tDatos[],IF(UTCElegido="",4,12),0)</f>
        <v>0.625</v>
      </c>
      <c r="F8" s="222"/>
      <c r="G8" s="222"/>
      <c r="H8" s="65"/>
      <c r="I8" s="65"/>
      <c r="J8" s="65"/>
      <c r="K8" s="70"/>
      <c r="L8" s="69"/>
      <c r="M8"/>
      <c r="N8" s="98"/>
      <c r="O8" s="51"/>
      <c r="Q8"/>
      <c r="R8"/>
      <c r="S8"/>
      <c r="T8"/>
      <c r="U8"/>
      <c r="V8"/>
      <c r="W8"/>
      <c r="X8"/>
    </row>
    <row r="9" spans="2:24" s="83" customFormat="1" ht="21.95" customHeight="1" x14ac:dyDescent="0.25">
      <c r="B9" s="183"/>
      <c r="C9" s="114"/>
      <c r="D9" s="85"/>
      <c r="E9" s="65"/>
      <c r="F9" s="68" t="s">
        <v>167</v>
      </c>
      <c r="G9" s="220">
        <v>2</v>
      </c>
      <c r="H9" s="221"/>
      <c r="I9" s="67" t="s">
        <v>0</v>
      </c>
      <c r="J9" s="220">
        <v>0</v>
      </c>
      <c r="K9" s="221"/>
      <c r="L9" s="66" t="s">
        <v>169</v>
      </c>
      <c r="M9" s="65"/>
      <c r="N9" s="84"/>
      <c r="O9" s="51"/>
      <c r="Q9"/>
      <c r="R9"/>
      <c r="S9"/>
      <c r="T9"/>
      <c r="U9"/>
      <c r="V9"/>
      <c r="W9"/>
      <c r="X9"/>
    </row>
    <row r="10" spans="2:24" s="94" customFormat="1" ht="20.100000000000001" customHeight="1" x14ac:dyDescent="0.25">
      <c r="B10" s="184"/>
      <c r="C10" s="116"/>
      <c r="D10" s="96"/>
      <c r="E10" s="58"/>
      <c r="F10" s="59"/>
      <c r="G10" s="63"/>
      <c r="H10" s="60"/>
      <c r="I10" s="61" t="s">
        <v>366</v>
      </c>
      <c r="J10" s="61"/>
      <c r="K10" s="60"/>
      <c r="L10" s="59"/>
      <c r="M10" s="58"/>
      <c r="N10" s="95"/>
      <c r="O10" s="51"/>
      <c r="Q10"/>
      <c r="R10"/>
      <c r="S10"/>
      <c r="T10"/>
      <c r="U10"/>
      <c r="V10"/>
      <c r="W10"/>
      <c r="X10"/>
    </row>
    <row r="11" spans="2:24" ht="5.0999999999999996" customHeight="1" x14ac:dyDescent="0.25">
      <c r="B11" s="184"/>
      <c r="D11" s="93"/>
      <c r="E11" s="54"/>
      <c r="F11" s="55"/>
      <c r="G11" s="54"/>
      <c r="H11" s="54"/>
      <c r="I11" s="54"/>
      <c r="J11" s="54"/>
      <c r="K11" s="54"/>
      <c r="L11" s="55"/>
      <c r="M11" s="54"/>
      <c r="N11" s="53"/>
      <c r="Q11"/>
      <c r="R11"/>
      <c r="S11"/>
      <c r="T11"/>
      <c r="U11"/>
      <c r="V11"/>
      <c r="W11"/>
      <c r="X11"/>
    </row>
    <row r="12" spans="2:24" ht="21.95" customHeight="1" x14ac:dyDescent="0.25">
      <c r="B12" s="184"/>
      <c r="D12" s="219" t="str">
        <f>TEXT(VLOOKUP(B14,tDatos[],IF(UTCElegido="",3,12),0),"dddd dd mmmm")</f>
        <v>jueves 11 Junio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</row>
    <row r="13" spans="2:24" ht="5.0999999999999996" customHeight="1" x14ac:dyDescent="0.25">
      <c r="B13" s="184"/>
      <c r="D13" s="92"/>
      <c r="E13" s="72"/>
      <c r="F13" s="73"/>
      <c r="G13" s="72"/>
      <c r="H13" s="72"/>
      <c r="I13" s="72"/>
      <c r="J13" s="72"/>
      <c r="K13" s="72"/>
      <c r="L13" s="73"/>
      <c r="M13" s="72"/>
      <c r="N13" s="71"/>
      <c r="Q13"/>
      <c r="R13"/>
      <c r="S13"/>
      <c r="T13"/>
      <c r="U13"/>
      <c r="V13"/>
      <c r="W13"/>
      <c r="X13"/>
    </row>
    <row r="14" spans="2:24" ht="21.95" customHeight="1" x14ac:dyDescent="0.25">
      <c r="B14" s="182">
        <v>2</v>
      </c>
      <c r="C14" s="129">
        <v>2</v>
      </c>
      <c r="D14" s="64"/>
      <c r="E14" s="222">
        <f>VLOOKUP(B14,tDatos[],IF(UTCElegido="",4,12),0)</f>
        <v>0.91666666666666663</v>
      </c>
      <c r="F14" s="222"/>
      <c r="G14" s="222"/>
      <c r="H14" s="65"/>
      <c r="I14" s="65"/>
      <c r="J14" s="65"/>
      <c r="K14" s="70"/>
      <c r="L14" s="69"/>
      <c r="M14"/>
      <c r="N14" s="57"/>
      <c r="Q14"/>
      <c r="R14"/>
      <c r="S14"/>
      <c r="T14"/>
      <c r="U14"/>
      <c r="V14"/>
      <c r="W14"/>
      <c r="X14"/>
    </row>
    <row r="15" spans="2:24" s="83" customFormat="1" ht="21.95" customHeight="1" x14ac:dyDescent="0.25">
      <c r="B15" s="183"/>
      <c r="C15" s="114"/>
      <c r="D15" s="85"/>
      <c r="E15" s="65"/>
      <c r="F15" s="68" t="s">
        <v>361</v>
      </c>
      <c r="G15" s="220">
        <v>2</v>
      </c>
      <c r="H15" s="221"/>
      <c r="I15" s="67" t="s">
        <v>0</v>
      </c>
      <c r="J15" s="220">
        <v>1</v>
      </c>
      <c r="K15" s="221"/>
      <c r="L15" s="66" t="s">
        <v>313</v>
      </c>
      <c r="M15" s="65"/>
      <c r="N15" s="84"/>
      <c r="O15" s="51"/>
      <c r="Q15"/>
      <c r="R15"/>
      <c r="S15"/>
      <c r="T15"/>
      <c r="U15"/>
      <c r="V15"/>
      <c r="W15"/>
      <c r="X15"/>
    </row>
    <row r="16" spans="2:24" ht="20.100000000000001" customHeight="1" x14ac:dyDescent="0.25">
      <c r="B16" s="184"/>
      <c r="D16" s="64"/>
      <c r="E16" s="58"/>
      <c r="F16" s="59"/>
      <c r="G16" s="63"/>
      <c r="H16" s="60"/>
      <c r="I16" s="61" t="s">
        <v>367</v>
      </c>
      <c r="J16" s="61"/>
      <c r="K16" s="60"/>
      <c r="L16" s="59"/>
      <c r="M16" s="58"/>
      <c r="N16" s="57"/>
      <c r="Q16"/>
      <c r="R16"/>
      <c r="S16"/>
      <c r="T16"/>
      <c r="U16"/>
      <c r="V16"/>
      <c r="W16"/>
      <c r="X16"/>
    </row>
    <row r="17" spans="2:24" ht="5.0999999999999996" customHeight="1" x14ac:dyDescent="0.25">
      <c r="B17" s="184"/>
      <c r="D17" s="56"/>
      <c r="E17" s="87"/>
      <c r="F17" s="88"/>
      <c r="G17" s="91"/>
      <c r="H17" s="89"/>
      <c r="I17" s="90"/>
      <c r="J17" s="90"/>
      <c r="K17" s="89"/>
      <c r="L17" s="88"/>
      <c r="M17" s="87"/>
      <c r="N17" s="53"/>
      <c r="Q17"/>
      <c r="R17"/>
      <c r="S17"/>
      <c r="T17"/>
      <c r="U17"/>
      <c r="V17"/>
      <c r="W17"/>
      <c r="X17"/>
    </row>
    <row r="18" spans="2:24" ht="21.95" customHeight="1" x14ac:dyDescent="0.25">
      <c r="B18" s="184"/>
      <c r="D18" s="219" t="str">
        <f>TEXT(VLOOKUP(B20,tDatos[],IF(UTCElegido="",3,12),0),"dddd dd mmmm")</f>
        <v>viernes 12 Junio</v>
      </c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Q18"/>
      <c r="R18"/>
      <c r="S18"/>
      <c r="T18"/>
      <c r="U18"/>
      <c r="V18"/>
      <c r="W18"/>
      <c r="X18"/>
    </row>
    <row r="19" spans="2:24" ht="5.0999999999999996" customHeight="1" x14ac:dyDescent="0.25">
      <c r="B19" s="184"/>
      <c r="D19" s="78"/>
      <c r="E19" s="72"/>
      <c r="F19" s="73"/>
      <c r="G19" s="72"/>
      <c r="H19" s="72"/>
      <c r="I19" s="72"/>
      <c r="J19" s="72"/>
      <c r="K19" s="72"/>
      <c r="L19" s="73"/>
      <c r="M19" s="72"/>
      <c r="N19" s="71"/>
      <c r="Q19"/>
      <c r="R19"/>
      <c r="S19"/>
      <c r="T19"/>
      <c r="U19"/>
      <c r="V19"/>
      <c r="W19"/>
      <c r="X19"/>
    </row>
    <row r="20" spans="2:24" ht="21.95" customHeight="1" x14ac:dyDescent="0.25">
      <c r="B20" s="182">
        <v>3</v>
      </c>
      <c r="C20" s="129">
        <v>3</v>
      </c>
      <c r="D20" s="64"/>
      <c r="E20" s="222">
        <f>VLOOKUP(B20,tDatos[],IF(UTCElegido="",4,12),0)</f>
        <v>0.625</v>
      </c>
      <c r="F20" s="222"/>
      <c r="G20" s="222"/>
      <c r="H20" s="65"/>
      <c r="I20" s="65"/>
      <c r="J20" s="65"/>
      <c r="K20" s="70"/>
      <c r="L20" s="69"/>
      <c r="M20"/>
      <c r="N20" s="57"/>
      <c r="Q20"/>
      <c r="R20"/>
      <c r="S20"/>
      <c r="T20"/>
      <c r="U20"/>
      <c r="V20"/>
      <c r="W20"/>
      <c r="X20"/>
    </row>
    <row r="21" spans="2:24" s="83" customFormat="1" ht="21.95" customHeight="1" x14ac:dyDescent="0.25">
      <c r="B21" s="183"/>
      <c r="C21" s="114"/>
      <c r="D21" s="85"/>
      <c r="E21" s="65"/>
      <c r="F21" s="68" t="s">
        <v>168</v>
      </c>
      <c r="G21" s="220">
        <v>1</v>
      </c>
      <c r="H21" s="221"/>
      <c r="I21" s="67" t="s">
        <v>0</v>
      </c>
      <c r="J21" s="220">
        <v>1</v>
      </c>
      <c r="K21" s="221"/>
      <c r="L21" s="66" t="s">
        <v>278</v>
      </c>
      <c r="M21" s="65"/>
      <c r="N21" s="84"/>
      <c r="O21" s="51"/>
      <c r="Q21"/>
      <c r="R21"/>
      <c r="S21"/>
      <c r="T21"/>
      <c r="U21"/>
      <c r="V21"/>
      <c r="W21"/>
      <c r="X21"/>
    </row>
    <row r="22" spans="2:24" ht="20.100000000000001" customHeight="1" x14ac:dyDescent="0.25">
      <c r="B22" s="184"/>
      <c r="D22" s="64"/>
      <c r="E22" s="58"/>
      <c r="F22" s="59"/>
      <c r="G22" s="63"/>
      <c r="H22" s="60"/>
      <c r="I22" s="61" t="s">
        <v>373</v>
      </c>
      <c r="J22" s="61"/>
      <c r="K22" s="60"/>
      <c r="L22" s="59"/>
      <c r="M22" s="58"/>
      <c r="N22" s="57"/>
      <c r="Q22"/>
      <c r="R22"/>
      <c r="S22"/>
      <c r="T22"/>
      <c r="U22"/>
      <c r="V22"/>
      <c r="W22"/>
      <c r="X22"/>
    </row>
    <row r="23" spans="2:24" ht="5.0999999999999996" customHeight="1" x14ac:dyDescent="0.25">
      <c r="B23" s="184"/>
      <c r="D23" s="56"/>
      <c r="E23" s="54"/>
      <c r="F23" s="55"/>
      <c r="G23" s="54"/>
      <c r="H23" s="54"/>
      <c r="I23" s="54"/>
      <c r="J23" s="54"/>
      <c r="K23" s="54"/>
      <c r="L23" s="55"/>
      <c r="M23" s="54"/>
      <c r="N23" s="53"/>
      <c r="Q23"/>
      <c r="R23"/>
      <c r="S23"/>
      <c r="T23"/>
      <c r="U23"/>
      <c r="V23"/>
      <c r="W23"/>
      <c r="X23"/>
    </row>
    <row r="24" spans="2:24" ht="21.95" customHeight="1" x14ac:dyDescent="0.25">
      <c r="B24" s="184"/>
      <c r="D24" s="219" t="str">
        <f>TEXT(VLOOKUP(B26,tDatos[],IF(UTCElegido="",3,12),0),"dddd dd mmmm")</f>
        <v>viernes 12 Junio</v>
      </c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Q24"/>
      <c r="R24"/>
      <c r="S24"/>
      <c r="T24"/>
      <c r="U24"/>
      <c r="V24"/>
      <c r="W24"/>
      <c r="X24"/>
    </row>
    <row r="25" spans="2:24" ht="5.0999999999999996" customHeight="1" x14ac:dyDescent="0.25">
      <c r="B25" s="184"/>
      <c r="D25" s="74"/>
      <c r="E25" s="72"/>
      <c r="F25" s="73"/>
      <c r="G25" s="72"/>
      <c r="H25" s="72"/>
      <c r="I25" s="72"/>
      <c r="J25" s="72"/>
      <c r="K25" s="72"/>
      <c r="L25" s="73"/>
      <c r="M25" s="72"/>
      <c r="N25" s="71"/>
      <c r="Q25"/>
      <c r="R25"/>
      <c r="S25"/>
      <c r="T25"/>
      <c r="U25"/>
      <c r="V25"/>
      <c r="W25"/>
      <c r="X25"/>
    </row>
    <row r="26" spans="2:24" ht="21.95" customHeight="1" x14ac:dyDescent="0.25">
      <c r="B26" s="182">
        <v>4</v>
      </c>
      <c r="C26" s="129">
        <v>4</v>
      </c>
      <c r="D26" s="64"/>
      <c r="E26" s="222">
        <f>VLOOKUP(B26,tDatos[],IF(UTCElegido="",4,12),0)</f>
        <v>0.875</v>
      </c>
      <c r="F26" s="222"/>
      <c r="G26" s="222"/>
      <c r="H26" s="65"/>
      <c r="I26" s="65"/>
      <c r="J26" s="65"/>
      <c r="K26" s="70"/>
      <c r="L26" s="69"/>
      <c r="M26"/>
      <c r="N26" s="57"/>
      <c r="Q26"/>
      <c r="R26"/>
      <c r="S26"/>
      <c r="T26"/>
      <c r="U26"/>
      <c r="V26"/>
      <c r="W26"/>
      <c r="X26"/>
    </row>
    <row r="27" spans="2:24" s="83" customFormat="1" ht="21.95" customHeight="1" x14ac:dyDescent="0.25">
      <c r="B27" s="183"/>
      <c r="C27" s="114"/>
      <c r="D27" s="85"/>
      <c r="E27" s="65"/>
      <c r="F27" s="68" t="s">
        <v>297</v>
      </c>
      <c r="G27" s="220">
        <v>4</v>
      </c>
      <c r="H27" s="221"/>
      <c r="I27" s="67" t="s">
        <v>0</v>
      </c>
      <c r="J27" s="220">
        <v>1</v>
      </c>
      <c r="K27" s="221"/>
      <c r="L27" s="66" t="s">
        <v>162</v>
      </c>
      <c r="M27" s="65"/>
      <c r="N27" s="84"/>
      <c r="O27" s="51"/>
      <c r="Q27"/>
      <c r="R27"/>
      <c r="S27"/>
      <c r="T27"/>
      <c r="U27"/>
      <c r="V27"/>
      <c r="W27"/>
      <c r="X27"/>
    </row>
    <row r="28" spans="2:24" ht="20.100000000000001" customHeight="1" x14ac:dyDescent="0.25">
      <c r="B28" s="184"/>
      <c r="D28" s="64"/>
      <c r="E28" s="58"/>
      <c r="F28" s="59"/>
      <c r="G28" s="63"/>
      <c r="H28" s="60"/>
      <c r="I28" s="61" t="s">
        <v>369</v>
      </c>
      <c r="J28" s="61"/>
      <c r="K28" s="60"/>
      <c r="L28" s="59"/>
      <c r="M28" s="58"/>
      <c r="N28" s="57"/>
      <c r="Q28"/>
      <c r="R28"/>
      <c r="S28"/>
      <c r="T28"/>
      <c r="U28"/>
      <c r="V28"/>
      <c r="W28"/>
      <c r="X28"/>
    </row>
    <row r="29" spans="2:24" ht="5.0999999999999996" customHeight="1" x14ac:dyDescent="0.25">
      <c r="B29" s="184"/>
      <c r="D29" s="56"/>
      <c r="E29" s="54"/>
      <c r="F29" s="55"/>
      <c r="G29" s="54"/>
      <c r="H29" s="54"/>
      <c r="I29" s="54"/>
      <c r="J29" s="54"/>
      <c r="K29" s="54"/>
      <c r="L29" s="55"/>
      <c r="M29" s="54"/>
      <c r="N29" s="53"/>
      <c r="Q29"/>
      <c r="R29"/>
      <c r="S29"/>
      <c r="T29"/>
      <c r="U29"/>
      <c r="V29"/>
      <c r="W29"/>
      <c r="X29"/>
    </row>
    <row r="30" spans="2:24" ht="21.95" customHeight="1" x14ac:dyDescent="0.25">
      <c r="B30" s="184"/>
      <c r="D30" s="219" t="str">
        <f>TEXT(VLOOKUP(B32,tDatos[],IF(UTCElegido="",3,12),0),"dddd dd mmmm")</f>
        <v>sábado 13 Junio</v>
      </c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Q30"/>
      <c r="R30"/>
      <c r="S30"/>
      <c r="T30"/>
      <c r="U30"/>
      <c r="V30"/>
      <c r="W30"/>
      <c r="X30"/>
    </row>
    <row r="31" spans="2:24" ht="5.0999999999999996" customHeight="1" x14ac:dyDescent="0.25">
      <c r="B31" s="184"/>
      <c r="D31" s="74"/>
      <c r="E31" s="86"/>
      <c r="F31" s="73"/>
      <c r="G31" s="72"/>
      <c r="H31" s="72"/>
      <c r="I31" s="72"/>
      <c r="J31" s="72"/>
      <c r="K31" s="72"/>
      <c r="L31" s="73"/>
      <c r="M31" s="72"/>
      <c r="N31" s="71"/>
      <c r="Q31"/>
      <c r="R31"/>
      <c r="S31"/>
      <c r="T31"/>
      <c r="U31"/>
      <c r="V31"/>
      <c r="W31"/>
      <c r="X31"/>
    </row>
    <row r="32" spans="2:24" ht="21.95" customHeight="1" x14ac:dyDescent="0.25">
      <c r="B32" s="182">
        <v>5</v>
      </c>
      <c r="C32" s="129">
        <v>8</v>
      </c>
      <c r="D32" s="64"/>
      <c r="E32" s="222">
        <f>VLOOKUP(B32,tDatos[],IF(UTCElegido="",4,12),0)</f>
        <v>0.625</v>
      </c>
      <c r="F32" s="222"/>
      <c r="G32" s="222"/>
      <c r="H32" s="65"/>
      <c r="I32" s="65"/>
      <c r="J32" s="65"/>
      <c r="K32" s="70"/>
      <c r="L32" s="69"/>
      <c r="M32"/>
      <c r="N32" s="57"/>
      <c r="Q32"/>
      <c r="R32"/>
      <c r="S32"/>
      <c r="T32"/>
      <c r="U32"/>
      <c r="V32"/>
      <c r="W32"/>
      <c r="X32"/>
    </row>
    <row r="33" spans="2:24" s="83" customFormat="1" ht="21.95" customHeight="1" x14ac:dyDescent="0.25">
      <c r="B33" s="183"/>
      <c r="C33" s="114"/>
      <c r="D33" s="85"/>
      <c r="E33" s="65"/>
      <c r="F33" s="68" t="s">
        <v>189</v>
      </c>
      <c r="G33" s="220">
        <v>1</v>
      </c>
      <c r="H33" s="221"/>
      <c r="I33" s="67" t="s">
        <v>0</v>
      </c>
      <c r="J33" s="220">
        <v>1</v>
      </c>
      <c r="K33" s="221"/>
      <c r="L33" s="66" t="s">
        <v>188</v>
      </c>
      <c r="M33" s="65"/>
      <c r="N33" s="84"/>
      <c r="O33" s="51"/>
      <c r="Q33"/>
      <c r="R33"/>
      <c r="S33"/>
      <c r="T33"/>
      <c r="U33"/>
      <c r="V33"/>
      <c r="W33"/>
      <c r="X33"/>
    </row>
    <row r="34" spans="2:24" ht="20.100000000000001" customHeight="1" x14ac:dyDescent="0.25">
      <c r="B34" s="184"/>
      <c r="D34" s="64"/>
      <c r="E34" s="58"/>
      <c r="F34" s="59"/>
      <c r="G34" s="63"/>
      <c r="H34" s="60"/>
      <c r="I34" s="61" t="s">
        <v>374</v>
      </c>
      <c r="J34" s="61"/>
      <c r="K34" s="60"/>
      <c r="L34" s="59"/>
      <c r="M34" s="58"/>
      <c r="N34" s="57"/>
      <c r="Q34"/>
      <c r="R34"/>
      <c r="S34"/>
      <c r="T34"/>
      <c r="U34"/>
      <c r="V34"/>
      <c r="W34"/>
      <c r="X34"/>
    </row>
    <row r="35" spans="2:24" ht="5.0999999999999996" customHeight="1" x14ac:dyDescent="0.25">
      <c r="B35" s="184"/>
      <c r="D35" s="56"/>
      <c r="E35" s="54"/>
      <c r="F35" s="55"/>
      <c r="G35" s="54"/>
      <c r="H35" s="54"/>
      <c r="I35" s="54"/>
      <c r="J35" s="54"/>
      <c r="K35" s="54"/>
      <c r="L35" s="55"/>
      <c r="M35" s="54"/>
      <c r="N35" s="53"/>
      <c r="Q35"/>
      <c r="R35"/>
      <c r="S35"/>
      <c r="T35"/>
      <c r="U35"/>
      <c r="V35"/>
      <c r="W35"/>
      <c r="X35"/>
    </row>
    <row r="36" spans="2:24" ht="21.95" customHeight="1" x14ac:dyDescent="0.25">
      <c r="B36" s="184"/>
      <c r="D36" s="219" t="str">
        <f>TEXT(VLOOKUP(B38,tDatos[],IF(UTCElegido="",3,12),0),"dddd dd mmmm")</f>
        <v>sábado 13 Junio</v>
      </c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Q36"/>
      <c r="R36"/>
      <c r="S36"/>
      <c r="T36"/>
      <c r="U36"/>
      <c r="V36"/>
      <c r="W36"/>
      <c r="X36"/>
    </row>
    <row r="37" spans="2:24" ht="5.0999999999999996" customHeight="1" x14ac:dyDescent="0.25">
      <c r="B37" s="184"/>
      <c r="D37" s="64"/>
      <c r="E37" s="72"/>
      <c r="F37" s="73"/>
      <c r="G37" s="72"/>
      <c r="H37" s="72"/>
      <c r="I37" s="72"/>
      <c r="J37" s="81"/>
      <c r="K37" s="81"/>
      <c r="L37" s="82"/>
      <c r="M37" s="81"/>
      <c r="N37" s="57"/>
      <c r="Q37"/>
      <c r="R37"/>
      <c r="S37"/>
      <c r="T37"/>
      <c r="U37"/>
      <c r="V37"/>
      <c r="W37"/>
      <c r="X37"/>
    </row>
    <row r="38" spans="2:24" ht="21.95" customHeight="1" x14ac:dyDescent="0.25">
      <c r="B38" s="182">
        <v>6</v>
      </c>
      <c r="C38" s="129">
        <v>7</v>
      </c>
      <c r="D38" s="64"/>
      <c r="E38" s="222">
        <f>VLOOKUP(B38,tDatos[],IF(UTCElegido="",4,12),0)</f>
        <v>0.75</v>
      </c>
      <c r="F38" s="222"/>
      <c r="G38" s="222"/>
      <c r="H38" s="65"/>
      <c r="I38" s="65"/>
      <c r="J38" s="65"/>
      <c r="K38" s="70"/>
      <c r="L38" s="69"/>
      <c r="M38"/>
      <c r="N38" s="57"/>
      <c r="Q38"/>
      <c r="R38"/>
      <c r="S38"/>
      <c r="T38"/>
      <c r="U38"/>
      <c r="V38"/>
      <c r="W38"/>
      <c r="X38"/>
    </row>
    <row r="39" spans="2:24" ht="21.95" customHeight="1" x14ac:dyDescent="0.25">
      <c r="B39" s="184"/>
      <c r="D39" s="64"/>
      <c r="E39" s="65"/>
      <c r="F39" s="68" t="s">
        <v>164</v>
      </c>
      <c r="G39" s="220">
        <v>1</v>
      </c>
      <c r="H39" s="221"/>
      <c r="I39" s="67" t="s">
        <v>0</v>
      </c>
      <c r="J39" s="220">
        <v>1</v>
      </c>
      <c r="K39" s="221"/>
      <c r="L39" s="66" t="s">
        <v>165</v>
      </c>
      <c r="M39" s="65"/>
      <c r="N39" s="57"/>
      <c r="Q39"/>
      <c r="R39"/>
      <c r="S39"/>
      <c r="T39"/>
      <c r="U39"/>
      <c r="V39"/>
      <c r="W39"/>
      <c r="X39"/>
    </row>
    <row r="40" spans="2:24" ht="20.100000000000001" customHeight="1" x14ac:dyDescent="0.25">
      <c r="B40" s="184"/>
      <c r="D40" s="64"/>
      <c r="E40" s="58"/>
      <c r="F40" s="59"/>
      <c r="G40" s="63"/>
      <c r="H40" s="60"/>
      <c r="I40" s="61" t="s">
        <v>370</v>
      </c>
      <c r="J40" s="61"/>
      <c r="K40" s="60"/>
      <c r="L40" s="59"/>
      <c r="M40" s="58"/>
      <c r="N40" s="57"/>
      <c r="Q40"/>
      <c r="R40"/>
      <c r="S40"/>
      <c r="T40"/>
      <c r="U40"/>
      <c r="V40"/>
      <c r="W40"/>
      <c r="X40"/>
    </row>
    <row r="41" spans="2:24" ht="5.0999999999999996" customHeight="1" x14ac:dyDescent="0.25">
      <c r="B41" s="184"/>
      <c r="D41" s="56"/>
      <c r="E41" s="54"/>
      <c r="F41" s="55"/>
      <c r="G41" s="54"/>
      <c r="H41" s="54"/>
      <c r="I41" s="54"/>
      <c r="J41" s="54"/>
      <c r="K41" s="54"/>
      <c r="L41" s="55"/>
      <c r="M41" s="54"/>
      <c r="N41" s="53"/>
      <c r="Q41"/>
      <c r="R41"/>
      <c r="S41"/>
      <c r="T41"/>
      <c r="U41"/>
      <c r="V41"/>
      <c r="W41"/>
      <c r="X41"/>
    </row>
    <row r="42" spans="2:24" ht="21.95" customHeight="1" x14ac:dyDescent="0.25">
      <c r="B42" s="184"/>
      <c r="D42" s="219" t="str">
        <f>TEXT(VLOOKUP(B44,tDatos[],IF(UTCElegido="",3,12),0),"dddd dd mmmm")</f>
        <v>sábado 13 Junio</v>
      </c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Q42"/>
      <c r="R42"/>
      <c r="S42"/>
      <c r="T42"/>
      <c r="U42"/>
      <c r="V42"/>
      <c r="W42"/>
      <c r="X42"/>
    </row>
    <row r="43" spans="2:24" ht="5.0999999999999996" customHeight="1" x14ac:dyDescent="0.25">
      <c r="B43" s="184"/>
      <c r="D43" s="74"/>
      <c r="E43" s="72"/>
      <c r="F43" s="73"/>
      <c r="G43" s="72"/>
      <c r="H43" s="72"/>
      <c r="I43" s="72"/>
      <c r="J43" s="72"/>
      <c r="K43" s="72"/>
      <c r="L43" s="73"/>
      <c r="M43" s="72"/>
      <c r="N43" s="71"/>
      <c r="Q43"/>
      <c r="R43"/>
      <c r="S43"/>
      <c r="T43"/>
      <c r="U43"/>
      <c r="V43"/>
      <c r="W43"/>
      <c r="X43"/>
    </row>
    <row r="44" spans="2:24" ht="21.95" customHeight="1" x14ac:dyDescent="0.25">
      <c r="B44" s="182">
        <v>7</v>
      </c>
      <c r="C44" s="129">
        <v>5</v>
      </c>
      <c r="D44" s="64"/>
      <c r="E44" s="222">
        <f>VLOOKUP(B44,tDatos[],IF(UTCElegido="",4,12),0)</f>
        <v>0.875</v>
      </c>
      <c r="F44" s="222"/>
      <c r="G44" s="222"/>
      <c r="H44" s="65"/>
      <c r="I44" s="65"/>
      <c r="J44" s="65"/>
      <c r="K44" s="70"/>
      <c r="L44" s="69"/>
      <c r="M44"/>
      <c r="N44" s="57"/>
      <c r="Q44"/>
      <c r="R44"/>
      <c r="S44"/>
      <c r="T44"/>
      <c r="U44"/>
      <c r="V44"/>
      <c r="W44"/>
      <c r="X44"/>
    </row>
    <row r="45" spans="2:24" s="83" customFormat="1" ht="21.95" customHeight="1" x14ac:dyDescent="0.25">
      <c r="B45" s="183"/>
      <c r="C45" s="114"/>
      <c r="D45" s="85"/>
      <c r="E45" s="65"/>
      <c r="F45" s="68" t="s">
        <v>187</v>
      </c>
      <c r="G45" s="220">
        <v>0</v>
      </c>
      <c r="H45" s="221"/>
      <c r="I45" s="67" t="s">
        <v>0</v>
      </c>
      <c r="J45" s="220">
        <v>1</v>
      </c>
      <c r="K45" s="221"/>
      <c r="L45" s="66" t="s">
        <v>186</v>
      </c>
      <c r="M45" s="65"/>
      <c r="N45" s="84"/>
      <c r="O45" s="51"/>
      <c r="Q45"/>
      <c r="R45"/>
      <c r="S45"/>
      <c r="T45"/>
      <c r="U45"/>
      <c r="V45"/>
      <c r="W45"/>
      <c r="X45"/>
    </row>
    <row r="46" spans="2:24" ht="20.100000000000001" customHeight="1" x14ac:dyDescent="0.25">
      <c r="B46" s="184"/>
      <c r="D46" s="64"/>
      <c r="E46" s="58"/>
      <c r="F46" s="59"/>
      <c r="G46" s="63"/>
      <c r="H46" s="60"/>
      <c r="I46" s="61" t="s">
        <v>371</v>
      </c>
      <c r="J46" s="61"/>
      <c r="K46" s="60"/>
      <c r="L46" s="59"/>
      <c r="M46" s="58"/>
      <c r="N46" s="57"/>
      <c r="Q46"/>
      <c r="R46"/>
      <c r="S46"/>
      <c r="T46"/>
      <c r="U46"/>
      <c r="V46"/>
      <c r="W46"/>
      <c r="X46"/>
    </row>
    <row r="47" spans="2:24" ht="5.0999999999999996" customHeight="1" x14ac:dyDescent="0.25">
      <c r="B47" s="184"/>
      <c r="D47" s="56"/>
      <c r="E47" s="54"/>
      <c r="F47" s="55"/>
      <c r="G47" s="54"/>
      <c r="H47" s="54"/>
      <c r="I47" s="54"/>
      <c r="J47" s="54"/>
      <c r="K47" s="54"/>
      <c r="L47" s="55"/>
      <c r="M47" s="54"/>
      <c r="N47" s="53"/>
      <c r="Q47"/>
      <c r="R47"/>
      <c r="S47"/>
      <c r="T47"/>
      <c r="U47"/>
      <c r="V47"/>
      <c r="W47"/>
      <c r="X47"/>
    </row>
    <row r="48" spans="2:24" ht="21.95" customHeight="1" x14ac:dyDescent="0.25">
      <c r="B48" s="184"/>
      <c r="D48" s="219" t="str">
        <f>TEXT(VLOOKUP(B50,tDatos[],IF(UTCElegido="",3,12),0),"dddd dd mmmm")</f>
        <v>domingo 14 Junio</v>
      </c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Q48"/>
      <c r="R48"/>
      <c r="S48"/>
      <c r="T48"/>
      <c r="U48"/>
      <c r="V48"/>
      <c r="W48"/>
      <c r="X48"/>
    </row>
    <row r="49" spans="2:24" ht="5.0999999999999996" customHeight="1" x14ac:dyDescent="0.25">
      <c r="B49" s="184"/>
      <c r="D49" s="78"/>
      <c r="E49" s="72"/>
      <c r="F49" s="73"/>
      <c r="G49" s="72"/>
      <c r="H49" s="72"/>
      <c r="I49" s="72"/>
      <c r="J49" s="72"/>
      <c r="K49" s="72"/>
      <c r="L49" s="73"/>
      <c r="M49" s="72"/>
      <c r="N49" s="71"/>
      <c r="Q49"/>
      <c r="R49"/>
      <c r="S49"/>
      <c r="T49"/>
      <c r="U49"/>
      <c r="V49"/>
      <c r="W49"/>
      <c r="X49"/>
    </row>
    <row r="50" spans="2:24" ht="21.95" customHeight="1" x14ac:dyDescent="0.25">
      <c r="B50" s="182">
        <v>8</v>
      </c>
      <c r="C50" s="129">
        <v>6</v>
      </c>
      <c r="D50" s="64"/>
      <c r="E50" s="222">
        <f>VLOOKUP(B50,tDatos[],IF(UTCElegido="",4,12),0)</f>
        <v>0</v>
      </c>
      <c r="F50" s="222"/>
      <c r="G50" s="222"/>
      <c r="H50" s="65"/>
      <c r="I50" s="65"/>
      <c r="J50" s="65"/>
      <c r="K50" s="70"/>
      <c r="L50" s="69"/>
      <c r="M50"/>
      <c r="N50" s="57"/>
      <c r="Q50"/>
      <c r="R50"/>
      <c r="S50"/>
      <c r="T50"/>
      <c r="U50"/>
      <c r="V50"/>
      <c r="W50"/>
      <c r="X50"/>
    </row>
    <row r="51" spans="2:24" s="83" customFormat="1" ht="21.95" customHeight="1" x14ac:dyDescent="0.25">
      <c r="B51" s="183"/>
      <c r="C51" s="114"/>
      <c r="D51" s="85"/>
      <c r="E51" s="65"/>
      <c r="F51" s="68" t="s">
        <v>184</v>
      </c>
      <c r="G51" s="220">
        <v>2</v>
      </c>
      <c r="H51" s="221"/>
      <c r="I51" s="67" t="s">
        <v>0</v>
      </c>
      <c r="J51" s="220">
        <v>0</v>
      </c>
      <c r="K51" s="221"/>
      <c r="L51" s="66" t="s">
        <v>279</v>
      </c>
      <c r="M51" s="65"/>
      <c r="N51" s="84"/>
      <c r="O51" s="51"/>
      <c r="Q51"/>
      <c r="R51"/>
      <c r="S51"/>
      <c r="T51"/>
      <c r="U51"/>
      <c r="V51"/>
      <c r="W51"/>
      <c r="X51"/>
    </row>
    <row r="52" spans="2:24" ht="20.100000000000001" customHeight="1" x14ac:dyDescent="0.25">
      <c r="B52" s="184"/>
      <c r="D52" s="64"/>
      <c r="E52" s="58"/>
      <c r="F52" s="59"/>
      <c r="G52" s="63"/>
      <c r="H52" s="60"/>
      <c r="I52" s="62" t="s">
        <v>372</v>
      </c>
      <c r="J52" s="61"/>
      <c r="K52" s="60"/>
      <c r="L52" s="59"/>
      <c r="M52" s="58"/>
      <c r="N52" s="57"/>
      <c r="Q52"/>
      <c r="R52"/>
      <c r="S52"/>
      <c r="T52"/>
      <c r="U52"/>
      <c r="V52"/>
      <c r="W52"/>
      <c r="X52"/>
    </row>
    <row r="53" spans="2:24" ht="5.0999999999999996" customHeight="1" x14ac:dyDescent="0.25">
      <c r="B53" s="184"/>
      <c r="D53" s="56"/>
      <c r="E53" s="54"/>
      <c r="F53" s="55"/>
      <c r="G53" s="54"/>
      <c r="H53" s="54"/>
      <c r="I53" s="54"/>
      <c r="J53" s="54"/>
      <c r="K53" s="54"/>
      <c r="L53" s="55"/>
      <c r="M53" s="54"/>
      <c r="N53" s="53"/>
      <c r="Q53"/>
      <c r="R53"/>
      <c r="S53"/>
      <c r="T53"/>
      <c r="U53"/>
      <c r="V53"/>
      <c r="W53"/>
      <c r="X53"/>
    </row>
    <row r="54" spans="2:24" ht="21.95" customHeight="1" x14ac:dyDescent="0.25">
      <c r="B54" s="184"/>
      <c r="D54" s="219" t="str">
        <f>TEXT(VLOOKUP(B56,tDatos[],IF(UTCElegido="",3,12),0),"dddd dd mmmm")</f>
        <v>domingo 14 Junio</v>
      </c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Q54"/>
      <c r="R54"/>
      <c r="S54"/>
      <c r="T54"/>
      <c r="U54"/>
      <c r="V54"/>
      <c r="W54"/>
      <c r="X54"/>
    </row>
    <row r="55" spans="2:24" ht="5.0999999999999996" customHeight="1" x14ac:dyDescent="0.25">
      <c r="B55" s="184"/>
      <c r="D55" s="64"/>
      <c r="E55" s="81"/>
      <c r="F55" s="82"/>
      <c r="G55" s="81"/>
      <c r="H55" s="81"/>
      <c r="I55" s="81"/>
      <c r="J55" s="81"/>
      <c r="K55" s="81"/>
      <c r="L55" s="82"/>
      <c r="M55" s="81"/>
      <c r="N55" s="57"/>
      <c r="Q55"/>
      <c r="R55"/>
      <c r="S55"/>
      <c r="T55"/>
      <c r="U55"/>
      <c r="V55"/>
      <c r="W55"/>
      <c r="X55"/>
    </row>
    <row r="56" spans="2:24" ht="21.95" customHeight="1" x14ac:dyDescent="0.25">
      <c r="B56" s="182">
        <v>9</v>
      </c>
      <c r="C56" s="129">
        <v>10</v>
      </c>
      <c r="D56" s="64"/>
      <c r="E56" s="222">
        <f>VLOOKUP(B56,tDatos[],IF(UTCElegido="",4,12),0)</f>
        <v>0.54166666666666663</v>
      </c>
      <c r="F56" s="222"/>
      <c r="G56" s="222"/>
      <c r="H56" s="65"/>
      <c r="I56" s="65"/>
      <c r="J56" s="65"/>
      <c r="K56" s="70"/>
      <c r="L56" s="69"/>
      <c r="M56"/>
      <c r="N56" s="57"/>
      <c r="Q56"/>
      <c r="R56"/>
      <c r="S56"/>
      <c r="T56"/>
      <c r="U56"/>
      <c r="V56"/>
      <c r="W56"/>
      <c r="X56"/>
    </row>
    <row r="57" spans="2:24" ht="21.95" customHeight="1" x14ac:dyDescent="0.25">
      <c r="B57" s="184"/>
      <c r="D57" s="64"/>
      <c r="E57" s="65"/>
      <c r="F57" s="68" t="s">
        <v>160</v>
      </c>
      <c r="G57" s="220">
        <v>7</v>
      </c>
      <c r="H57" s="221"/>
      <c r="I57" s="67" t="s">
        <v>0</v>
      </c>
      <c r="J57" s="220">
        <v>1</v>
      </c>
      <c r="K57" s="221"/>
      <c r="L57" s="66" t="s">
        <v>159</v>
      </c>
      <c r="M57" s="65"/>
      <c r="N57" s="57"/>
      <c r="Q57"/>
      <c r="R57"/>
      <c r="S57"/>
      <c r="T57"/>
      <c r="U57"/>
      <c r="V57"/>
      <c r="W57"/>
      <c r="X57"/>
    </row>
    <row r="58" spans="2:24" ht="20.100000000000001" customHeight="1" x14ac:dyDescent="0.25">
      <c r="B58" s="184"/>
      <c r="D58" s="64"/>
      <c r="E58" s="58"/>
      <c r="F58" s="59"/>
      <c r="G58" s="63"/>
      <c r="H58" s="60"/>
      <c r="I58" s="61" t="s">
        <v>375</v>
      </c>
      <c r="J58" s="61"/>
      <c r="K58" s="60"/>
      <c r="L58" s="59"/>
      <c r="M58" s="58"/>
      <c r="N58" s="57"/>
      <c r="Q58"/>
      <c r="R58"/>
      <c r="S58"/>
      <c r="T58"/>
      <c r="U58"/>
      <c r="V58"/>
      <c r="W58"/>
      <c r="X58"/>
    </row>
    <row r="59" spans="2:24" ht="5.0999999999999996" customHeight="1" x14ac:dyDescent="0.25">
      <c r="B59" s="184"/>
      <c r="D59" s="64"/>
      <c r="E59" s="81"/>
      <c r="F59" s="82"/>
      <c r="G59" s="81"/>
      <c r="H59" s="81"/>
      <c r="I59" s="81"/>
      <c r="J59" s="81"/>
      <c r="K59" s="81"/>
      <c r="L59" s="82"/>
      <c r="M59" s="81"/>
      <c r="N59" s="57"/>
      <c r="Q59"/>
      <c r="R59"/>
      <c r="S59"/>
      <c r="T59"/>
      <c r="U59"/>
      <c r="V59"/>
      <c r="W59"/>
      <c r="X59"/>
    </row>
    <row r="60" spans="2:24" ht="21.95" customHeight="1" x14ac:dyDescent="0.25">
      <c r="B60" s="184"/>
      <c r="D60" s="219" t="str">
        <f>TEXT(VLOOKUP(B62,tDatos[],IF(UTCElegido="",3,12),0),"dddd dd mmmm")</f>
        <v>domingo 14 Junio</v>
      </c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Q60"/>
      <c r="R60"/>
      <c r="S60"/>
      <c r="T60"/>
      <c r="U60"/>
      <c r="V60"/>
      <c r="W60"/>
      <c r="X60"/>
    </row>
    <row r="61" spans="2:24" ht="5.0999999999999996" customHeight="1" x14ac:dyDescent="0.25">
      <c r="B61" s="184"/>
      <c r="D61" s="74"/>
      <c r="E61" s="72"/>
      <c r="F61" s="73"/>
      <c r="G61" s="72"/>
      <c r="H61" s="72"/>
      <c r="I61" s="72"/>
      <c r="J61" s="72"/>
      <c r="K61" s="72"/>
      <c r="L61" s="73"/>
      <c r="M61" s="72"/>
      <c r="N61" s="71"/>
      <c r="Q61"/>
      <c r="R61"/>
      <c r="S61"/>
      <c r="T61"/>
      <c r="U61"/>
      <c r="V61"/>
      <c r="W61"/>
      <c r="X61"/>
    </row>
    <row r="62" spans="2:24" ht="18.75" x14ac:dyDescent="0.25">
      <c r="B62" s="182">
        <v>10</v>
      </c>
      <c r="C62" s="129">
        <v>11</v>
      </c>
      <c r="D62" s="64"/>
      <c r="E62" s="222">
        <f>VLOOKUP(B62,tDatos[],IF(UTCElegido="",4,12),0)</f>
        <v>0.66666666666666663</v>
      </c>
      <c r="F62" s="222"/>
      <c r="G62" s="222"/>
      <c r="H62" s="77"/>
      <c r="I62" s="77"/>
      <c r="J62" s="77"/>
      <c r="K62" s="76"/>
      <c r="L62" s="75"/>
      <c r="M62"/>
      <c r="N62" s="57"/>
      <c r="Q62"/>
      <c r="R62"/>
      <c r="S62"/>
      <c r="T62"/>
      <c r="U62"/>
      <c r="V62"/>
      <c r="W62"/>
      <c r="X62"/>
    </row>
    <row r="63" spans="2:24" ht="21.95" customHeight="1" x14ac:dyDescent="0.25">
      <c r="B63" s="184"/>
      <c r="D63" s="64"/>
      <c r="E63" s="65"/>
      <c r="F63" s="68" t="s">
        <v>161</v>
      </c>
      <c r="G63" s="220">
        <v>2</v>
      </c>
      <c r="H63" s="221"/>
      <c r="I63" s="67" t="s">
        <v>0</v>
      </c>
      <c r="J63" s="220">
        <v>2</v>
      </c>
      <c r="K63" s="221"/>
      <c r="L63" s="66" t="s">
        <v>157</v>
      </c>
      <c r="M63" s="65"/>
      <c r="N63" s="57"/>
      <c r="Q63"/>
      <c r="R63"/>
      <c r="S63"/>
      <c r="T63"/>
      <c r="U63"/>
      <c r="V63"/>
      <c r="W63"/>
      <c r="X63"/>
    </row>
    <row r="64" spans="2:24" ht="20.100000000000001" customHeight="1" x14ac:dyDescent="0.25">
      <c r="B64" s="184"/>
      <c r="D64" s="64"/>
      <c r="E64" s="58"/>
      <c r="F64" s="59"/>
      <c r="G64" s="63"/>
      <c r="H64" s="60"/>
      <c r="I64" s="61" t="s">
        <v>376</v>
      </c>
      <c r="J64" s="61"/>
      <c r="K64" s="60"/>
      <c r="L64" s="59"/>
      <c r="M64" s="58"/>
      <c r="N64" s="57"/>
      <c r="Q64"/>
      <c r="R64"/>
      <c r="S64"/>
      <c r="T64"/>
      <c r="U64"/>
      <c r="V64"/>
      <c r="W64"/>
      <c r="X64"/>
    </row>
    <row r="65" spans="2:24" ht="5.0999999999999996" customHeight="1" x14ac:dyDescent="0.25">
      <c r="B65" s="184"/>
      <c r="D65" s="56"/>
      <c r="E65" s="54"/>
      <c r="F65" s="55"/>
      <c r="G65" s="54"/>
      <c r="H65" s="54"/>
      <c r="I65" s="54"/>
      <c r="J65" s="54"/>
      <c r="K65" s="54"/>
      <c r="L65" s="55"/>
      <c r="M65" s="54"/>
      <c r="N65" s="53"/>
      <c r="Q65"/>
      <c r="R65"/>
      <c r="S65"/>
      <c r="T65"/>
      <c r="U65"/>
      <c r="V65"/>
      <c r="W65"/>
      <c r="X65"/>
    </row>
    <row r="66" spans="2:24" ht="21.95" customHeight="1" x14ac:dyDescent="0.25">
      <c r="B66" s="184"/>
      <c r="D66" s="219" t="str">
        <f>TEXT(VLOOKUP(B68,tDatos[],IF(UTCElegido="",3,12),0),"dddd dd mmmm")</f>
        <v>domingo 14 Junio</v>
      </c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Q66"/>
      <c r="R66"/>
      <c r="S66"/>
      <c r="T66"/>
      <c r="U66"/>
      <c r="V66"/>
      <c r="W66"/>
      <c r="X66"/>
    </row>
    <row r="67" spans="2:24" ht="5.0999999999999996" customHeight="1" x14ac:dyDescent="0.25">
      <c r="B67" s="184"/>
      <c r="D67" s="64"/>
      <c r="E67" s="81"/>
      <c r="F67" s="82"/>
      <c r="G67" s="81"/>
      <c r="H67" s="81"/>
      <c r="I67" s="81"/>
      <c r="J67" s="81"/>
      <c r="K67" s="81"/>
      <c r="L67" s="82"/>
      <c r="M67" s="81"/>
      <c r="N67" s="57"/>
      <c r="Q67"/>
      <c r="R67"/>
      <c r="S67"/>
      <c r="T67"/>
      <c r="U67"/>
      <c r="V67"/>
      <c r="W67"/>
      <c r="X67"/>
    </row>
    <row r="68" spans="2:24" ht="18.75" x14ac:dyDescent="0.25">
      <c r="B68" s="182">
        <v>11</v>
      </c>
      <c r="C68" s="129">
        <v>9</v>
      </c>
      <c r="D68" s="64"/>
      <c r="E68" s="222">
        <f>VLOOKUP(B68,tDatos[],IF(UTCElegido="",4,12),0)</f>
        <v>0.79166666666666663</v>
      </c>
      <c r="F68" s="222"/>
      <c r="G68" s="222"/>
      <c r="H68" s="77"/>
      <c r="I68" s="77"/>
      <c r="J68" s="77"/>
      <c r="K68" s="76"/>
      <c r="L68" s="75"/>
      <c r="M68"/>
      <c r="N68" s="57"/>
      <c r="Q68"/>
      <c r="R68"/>
      <c r="S68"/>
      <c r="T68"/>
      <c r="U68"/>
      <c r="V68"/>
      <c r="W68"/>
      <c r="X68"/>
    </row>
    <row r="69" spans="2:24" ht="21.95" customHeight="1" x14ac:dyDescent="0.25">
      <c r="B69" s="184"/>
      <c r="D69" s="64"/>
      <c r="E69" s="65"/>
      <c r="F69" s="68" t="s">
        <v>196</v>
      </c>
      <c r="G69" s="220">
        <v>1</v>
      </c>
      <c r="H69" s="221"/>
      <c r="I69" s="67" t="s">
        <v>0</v>
      </c>
      <c r="J69" s="220">
        <v>0</v>
      </c>
      <c r="K69" s="221"/>
      <c r="L69" s="66" t="s">
        <v>183</v>
      </c>
      <c r="M69" s="65"/>
      <c r="N69" s="57"/>
      <c r="Q69"/>
      <c r="R69"/>
      <c r="S69"/>
      <c r="T69"/>
      <c r="U69"/>
      <c r="V69"/>
      <c r="W69"/>
      <c r="X69"/>
    </row>
    <row r="70" spans="2:24" ht="20.100000000000001" customHeight="1" x14ac:dyDescent="0.25">
      <c r="B70" s="184"/>
      <c r="D70" s="64"/>
      <c r="E70" s="58"/>
      <c r="F70" s="59"/>
      <c r="G70" s="63"/>
      <c r="H70" s="60"/>
      <c r="I70" s="61" t="s">
        <v>377</v>
      </c>
      <c r="J70" s="61"/>
      <c r="K70" s="60"/>
      <c r="L70" s="59"/>
      <c r="M70" s="58"/>
      <c r="N70" s="57"/>
      <c r="Q70"/>
      <c r="R70"/>
      <c r="S70"/>
      <c r="T70"/>
      <c r="U70"/>
      <c r="V70"/>
      <c r="W70"/>
      <c r="X70"/>
    </row>
    <row r="71" spans="2:24" ht="5.0999999999999996" customHeight="1" x14ac:dyDescent="0.25">
      <c r="B71" s="184"/>
      <c r="D71" s="64"/>
      <c r="E71" s="81"/>
      <c r="F71" s="82"/>
      <c r="G71" s="81"/>
      <c r="H71" s="81"/>
      <c r="I71" s="81"/>
      <c r="J71" s="81"/>
      <c r="K71" s="81"/>
      <c r="L71" s="82"/>
      <c r="M71" s="81"/>
      <c r="N71" s="57"/>
      <c r="Q71"/>
      <c r="R71"/>
      <c r="S71"/>
      <c r="T71"/>
      <c r="U71"/>
      <c r="V71"/>
      <c r="W71"/>
      <c r="X71"/>
    </row>
    <row r="72" spans="2:24" ht="21.95" customHeight="1" x14ac:dyDescent="0.25">
      <c r="B72" s="184"/>
      <c r="D72" s="219" t="str">
        <f>TEXT(VLOOKUP(B74,tDatos[],IF(UTCElegido="",3,12),0),"dddd dd mmmm")</f>
        <v>domingo 14 Junio</v>
      </c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Q72"/>
      <c r="R72"/>
      <c r="S72"/>
      <c r="T72"/>
      <c r="U72"/>
      <c r="V72"/>
      <c r="W72"/>
      <c r="X72"/>
    </row>
    <row r="73" spans="2:24" ht="5.0999999999999996" customHeight="1" x14ac:dyDescent="0.25">
      <c r="B73" s="184"/>
      <c r="D73" s="74"/>
      <c r="E73" s="72"/>
      <c r="F73" s="73"/>
      <c r="G73" s="72"/>
      <c r="H73" s="72"/>
      <c r="I73" s="72"/>
      <c r="J73" s="72"/>
      <c r="K73" s="72"/>
      <c r="L73" s="73"/>
      <c r="M73" s="72"/>
      <c r="N73" s="71"/>
      <c r="Q73"/>
      <c r="R73"/>
      <c r="S73"/>
      <c r="T73"/>
      <c r="U73"/>
      <c r="V73"/>
      <c r="W73"/>
      <c r="X73"/>
    </row>
    <row r="74" spans="2:24" ht="15" customHeight="1" x14ac:dyDescent="0.25">
      <c r="B74" s="182">
        <v>12</v>
      </c>
      <c r="C74" s="129">
        <v>12</v>
      </c>
      <c r="D74" s="64"/>
      <c r="E74" s="222">
        <f>VLOOKUP(B74,tDatos[],IF(UTCElegido="",4,12),0)</f>
        <v>0.91666666666666663</v>
      </c>
      <c r="F74" s="222"/>
      <c r="G74" s="222"/>
      <c r="H74" s="77"/>
      <c r="I74" s="77"/>
      <c r="J74" s="77"/>
      <c r="K74" s="76"/>
      <c r="L74" s="75"/>
      <c r="M74"/>
      <c r="N74" s="57"/>
      <c r="Q74"/>
      <c r="R74"/>
      <c r="S74"/>
      <c r="T74"/>
      <c r="U74"/>
      <c r="V74"/>
      <c r="W74"/>
      <c r="X74"/>
    </row>
    <row r="75" spans="2:24" ht="21.95" customHeight="1" x14ac:dyDescent="0.25">
      <c r="B75" s="184"/>
      <c r="D75" s="64"/>
      <c r="E75" s="65"/>
      <c r="F75" s="68" t="s">
        <v>277</v>
      </c>
      <c r="G75" s="220">
        <v>5</v>
      </c>
      <c r="H75" s="221"/>
      <c r="I75" s="67" t="s">
        <v>0</v>
      </c>
      <c r="J75" s="220">
        <v>1</v>
      </c>
      <c r="K75" s="221"/>
      <c r="L75" s="66" t="s">
        <v>182</v>
      </c>
      <c r="M75" s="65"/>
      <c r="N75" s="57"/>
      <c r="Q75"/>
      <c r="R75"/>
      <c r="S75"/>
      <c r="T75"/>
      <c r="U75"/>
      <c r="V75"/>
      <c r="W75"/>
      <c r="X75"/>
    </row>
    <row r="76" spans="2:24" ht="20.100000000000001" customHeight="1" x14ac:dyDescent="0.25">
      <c r="B76" s="184"/>
      <c r="D76" s="64"/>
      <c r="E76" s="58"/>
      <c r="F76" s="59"/>
      <c r="G76" s="63"/>
      <c r="H76" s="60"/>
      <c r="I76" s="61" t="s">
        <v>378</v>
      </c>
      <c r="J76" s="61"/>
      <c r="K76" s="60"/>
      <c r="L76" s="59"/>
      <c r="M76" s="58"/>
      <c r="N76" s="57"/>
      <c r="Q76"/>
      <c r="R76"/>
      <c r="S76"/>
      <c r="T76"/>
      <c r="U76"/>
      <c r="V76"/>
      <c r="W76"/>
      <c r="X76"/>
    </row>
    <row r="77" spans="2:24" ht="5.0999999999999996" customHeight="1" x14ac:dyDescent="0.25">
      <c r="B77" s="184"/>
      <c r="D77" s="56"/>
      <c r="E77" s="54"/>
      <c r="F77" s="55"/>
      <c r="G77" s="54"/>
      <c r="H77" s="54"/>
      <c r="I77" s="54"/>
      <c r="J77" s="54"/>
      <c r="K77" s="54"/>
      <c r="L77" s="55"/>
      <c r="M77" s="54"/>
      <c r="N77" s="53"/>
      <c r="Q77"/>
      <c r="R77"/>
      <c r="S77"/>
      <c r="T77"/>
      <c r="U77"/>
      <c r="V77"/>
      <c r="W77"/>
      <c r="X77"/>
    </row>
    <row r="78" spans="2:24" ht="21.95" customHeight="1" x14ac:dyDescent="0.25">
      <c r="B78" s="184"/>
      <c r="D78" s="219" t="str">
        <f>TEXT(VLOOKUP(B80,tDatos[],IF(UTCElegido="",3,12),0),"dddd dd mmmm")</f>
        <v>lunes 15 Junio</v>
      </c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Q78"/>
      <c r="R78"/>
      <c r="S78"/>
      <c r="T78"/>
      <c r="U78"/>
      <c r="V78"/>
      <c r="W78"/>
      <c r="X78"/>
    </row>
    <row r="79" spans="2:24" ht="5.0999999999999996" customHeight="1" x14ac:dyDescent="0.25">
      <c r="B79" s="184"/>
      <c r="D79" s="78"/>
      <c r="E79" s="72"/>
      <c r="F79" s="73"/>
      <c r="G79" s="72"/>
      <c r="H79" s="72"/>
      <c r="I79" s="72"/>
      <c r="J79" s="72"/>
      <c r="K79" s="72"/>
      <c r="L79" s="73"/>
      <c r="M79" s="72"/>
      <c r="N79" s="71"/>
      <c r="Q79"/>
      <c r="R79"/>
      <c r="S79"/>
      <c r="T79"/>
      <c r="U79"/>
      <c r="V79"/>
      <c r="W79"/>
      <c r="X79"/>
    </row>
    <row r="80" spans="2:24" ht="21.95" customHeight="1" x14ac:dyDescent="0.25">
      <c r="B80" s="182">
        <v>13</v>
      </c>
      <c r="C80" s="129">
        <v>14</v>
      </c>
      <c r="D80" s="64"/>
      <c r="E80" s="222">
        <f>VLOOKUP(B80,tDatos[],IF(UTCElegido="",4,12),0)</f>
        <v>0.5</v>
      </c>
      <c r="F80" s="222"/>
      <c r="G80" s="222"/>
      <c r="H80" s="77"/>
      <c r="I80" s="77"/>
      <c r="J80" s="77"/>
      <c r="K80" s="76"/>
      <c r="L80" s="75"/>
      <c r="M80"/>
      <c r="N80" s="57"/>
      <c r="Q80"/>
      <c r="R80"/>
      <c r="S80"/>
      <c r="T80"/>
      <c r="U80"/>
      <c r="V80"/>
      <c r="W80"/>
      <c r="X80"/>
    </row>
    <row r="81" spans="2:24" ht="21.95" customHeight="1" x14ac:dyDescent="0.25">
      <c r="B81" s="184"/>
      <c r="D81" s="64"/>
      <c r="E81" s="65"/>
      <c r="F81" s="68" t="s">
        <v>156</v>
      </c>
      <c r="G81" s="220">
        <v>0</v>
      </c>
      <c r="H81" s="221"/>
      <c r="I81" s="67" t="s">
        <v>0</v>
      </c>
      <c r="J81" s="220">
        <v>0</v>
      </c>
      <c r="K81" s="221"/>
      <c r="L81" s="66" t="s">
        <v>154</v>
      </c>
      <c r="M81" s="65"/>
      <c r="N81" s="57"/>
      <c r="Q81"/>
      <c r="R81"/>
      <c r="S81"/>
      <c r="T81"/>
      <c r="U81"/>
      <c r="V81"/>
      <c r="W81"/>
      <c r="X81"/>
    </row>
    <row r="82" spans="2:24" ht="20.100000000000001" customHeight="1" x14ac:dyDescent="0.25">
      <c r="B82" s="184"/>
      <c r="D82" s="64"/>
      <c r="E82" s="58"/>
      <c r="F82" s="59"/>
      <c r="G82" s="63"/>
      <c r="H82" s="60"/>
      <c r="I82" s="61" t="s">
        <v>379</v>
      </c>
      <c r="J82" s="61"/>
      <c r="K82" s="60"/>
      <c r="L82" s="59"/>
      <c r="M82" s="58"/>
      <c r="N82" s="57"/>
      <c r="Q82"/>
      <c r="R82"/>
      <c r="S82"/>
      <c r="T82"/>
      <c r="U82"/>
      <c r="V82"/>
      <c r="W82"/>
      <c r="X82"/>
    </row>
    <row r="83" spans="2:24" ht="5.0999999999999996" customHeight="1" x14ac:dyDescent="0.25">
      <c r="B83" s="184"/>
      <c r="D83" s="56"/>
      <c r="E83" s="54"/>
      <c r="F83" s="55"/>
      <c r="G83" s="54"/>
      <c r="H83" s="54"/>
      <c r="I83" s="54"/>
      <c r="J83" s="54"/>
      <c r="K83" s="54"/>
      <c r="L83" s="55"/>
      <c r="M83" s="54"/>
      <c r="N83" s="53"/>
      <c r="Q83"/>
      <c r="R83"/>
      <c r="S83"/>
      <c r="T83"/>
      <c r="U83"/>
      <c r="V83"/>
      <c r="W83"/>
      <c r="X83"/>
    </row>
    <row r="84" spans="2:24" ht="21.95" customHeight="1" x14ac:dyDescent="0.25">
      <c r="B84" s="184"/>
      <c r="D84" s="219" t="str">
        <f>TEXT(VLOOKUP(B86,tDatos[],IF(UTCElegido="",3,12),0),"dddd dd mmmm")</f>
        <v>lunes 15 Junio</v>
      </c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Q84"/>
      <c r="R84"/>
      <c r="S84"/>
      <c r="T84"/>
      <c r="U84"/>
      <c r="V84"/>
      <c r="W84"/>
      <c r="X84"/>
    </row>
    <row r="85" spans="2:24" ht="5.0999999999999996" customHeight="1" x14ac:dyDescent="0.25">
      <c r="B85" s="184"/>
      <c r="D85" s="74"/>
      <c r="E85" s="72"/>
      <c r="F85" s="73"/>
      <c r="G85" s="72"/>
      <c r="H85" s="72"/>
      <c r="I85" s="72"/>
      <c r="J85" s="72"/>
      <c r="K85" s="72"/>
      <c r="L85" s="73"/>
      <c r="M85" s="72"/>
      <c r="N85" s="71"/>
      <c r="Q85"/>
      <c r="R85"/>
      <c r="S85"/>
      <c r="T85"/>
      <c r="U85"/>
      <c r="V85"/>
      <c r="W85"/>
      <c r="X85"/>
    </row>
    <row r="86" spans="2:24" ht="21.95" customHeight="1" x14ac:dyDescent="0.25">
      <c r="B86" s="182">
        <v>14</v>
      </c>
      <c r="C86" s="129">
        <v>16</v>
      </c>
      <c r="D86" s="64"/>
      <c r="E86" s="222">
        <f>VLOOKUP(B86,tDatos[],IF(UTCElegido="",4,12),0)</f>
        <v>0.625</v>
      </c>
      <c r="F86" s="222"/>
      <c r="G86" s="222"/>
      <c r="H86" s="77"/>
      <c r="I86" s="77"/>
      <c r="J86" s="77"/>
      <c r="K86" s="76"/>
      <c r="L86" s="75"/>
      <c r="M86"/>
      <c r="N86" s="57"/>
      <c r="Q86"/>
      <c r="R86"/>
      <c r="S86"/>
      <c r="T86"/>
      <c r="U86"/>
      <c r="V86"/>
      <c r="W86"/>
      <c r="X86"/>
    </row>
    <row r="87" spans="2:24" ht="21.95" customHeight="1" x14ac:dyDescent="0.25">
      <c r="B87" s="184"/>
      <c r="D87" s="64"/>
      <c r="E87" s="65"/>
      <c r="F87" s="68" t="s">
        <v>155</v>
      </c>
      <c r="G87" s="220">
        <v>1</v>
      </c>
      <c r="H87" s="221"/>
      <c r="I87" s="67" t="s">
        <v>0</v>
      </c>
      <c r="J87" s="220">
        <v>1</v>
      </c>
      <c r="K87" s="221"/>
      <c r="L87" s="66" t="s">
        <v>153</v>
      </c>
      <c r="M87" s="65"/>
      <c r="N87" s="57"/>
      <c r="Q87"/>
      <c r="R87"/>
      <c r="S87"/>
      <c r="T87"/>
      <c r="U87"/>
      <c r="V87"/>
      <c r="W87"/>
      <c r="X87"/>
    </row>
    <row r="88" spans="2:24" ht="20.100000000000001" customHeight="1" x14ac:dyDescent="0.25">
      <c r="B88" s="184"/>
      <c r="D88" s="64"/>
      <c r="E88" s="58"/>
      <c r="F88" s="59"/>
      <c r="G88" s="63"/>
      <c r="H88" s="60"/>
      <c r="I88" s="61" t="s">
        <v>380</v>
      </c>
      <c r="J88" s="61"/>
      <c r="K88" s="60"/>
      <c r="L88" s="59"/>
      <c r="M88" s="58"/>
      <c r="N88" s="57"/>
      <c r="Q88"/>
      <c r="R88"/>
      <c r="S88"/>
      <c r="T88"/>
      <c r="U88"/>
      <c r="V88"/>
      <c r="W88"/>
      <c r="X88"/>
    </row>
    <row r="89" spans="2:24" ht="4.5" customHeight="1" x14ac:dyDescent="0.25">
      <c r="B89" s="184"/>
      <c r="D89" s="56"/>
      <c r="E89" s="54"/>
      <c r="F89" s="55"/>
      <c r="G89" s="54"/>
      <c r="H89" s="54"/>
      <c r="I89" s="54"/>
      <c r="J89" s="54"/>
      <c r="K89" s="54"/>
      <c r="L89" s="55"/>
      <c r="M89" s="54"/>
      <c r="N89" s="53"/>
      <c r="Q89"/>
      <c r="R89"/>
      <c r="S89"/>
      <c r="T89"/>
      <c r="U89"/>
      <c r="V89"/>
      <c r="W89"/>
      <c r="X89"/>
    </row>
    <row r="90" spans="2:24" ht="21.95" customHeight="1" x14ac:dyDescent="0.25">
      <c r="B90" s="184"/>
      <c r="D90" s="219" t="str">
        <f>TEXT(VLOOKUP(B92,tDatos[],IF(UTCElegido="",3,12),0),"dddd dd mmmm")</f>
        <v>lunes 15 Junio</v>
      </c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Q90"/>
      <c r="R90"/>
      <c r="S90"/>
      <c r="T90"/>
      <c r="U90"/>
      <c r="V90"/>
      <c r="W90"/>
      <c r="X90"/>
    </row>
    <row r="91" spans="2:24" ht="5.0999999999999996" customHeight="1" x14ac:dyDescent="0.25">
      <c r="B91" s="184"/>
      <c r="D91" s="74"/>
      <c r="E91" s="72"/>
      <c r="F91" s="73"/>
      <c r="G91" s="72"/>
      <c r="H91" s="72"/>
      <c r="I91" s="72"/>
      <c r="J91" s="72"/>
      <c r="K91" s="72"/>
      <c r="L91" s="73"/>
      <c r="M91" s="72"/>
      <c r="N91" s="71"/>
      <c r="Q91"/>
      <c r="R91"/>
      <c r="S91"/>
      <c r="T91"/>
      <c r="U91"/>
      <c r="V91"/>
      <c r="W91"/>
      <c r="X91"/>
    </row>
    <row r="92" spans="2:24" ht="21.95" customHeight="1" x14ac:dyDescent="0.25">
      <c r="B92" s="182">
        <v>15</v>
      </c>
      <c r="C92" s="129">
        <v>13</v>
      </c>
      <c r="D92" s="64"/>
      <c r="E92" s="222">
        <f>VLOOKUP(B92,tDatos[],IF(UTCElegido="",4,12),0)</f>
        <v>0.75</v>
      </c>
      <c r="F92" s="222"/>
      <c r="G92" s="222"/>
      <c r="H92" s="77"/>
      <c r="I92" s="77"/>
      <c r="J92" s="77"/>
      <c r="K92" s="76"/>
      <c r="L92" s="75"/>
      <c r="M92"/>
      <c r="N92" s="57"/>
      <c r="Q92"/>
      <c r="R92"/>
      <c r="S92"/>
      <c r="T92"/>
      <c r="U92"/>
      <c r="V92"/>
      <c r="W92"/>
      <c r="X92"/>
    </row>
    <row r="93" spans="2:24" ht="21.95" customHeight="1" x14ac:dyDescent="0.25">
      <c r="B93" s="184"/>
      <c r="D93" s="64"/>
      <c r="E93" s="65"/>
      <c r="F93" s="68" t="s">
        <v>358</v>
      </c>
      <c r="G93" s="220">
        <v>1</v>
      </c>
      <c r="H93" s="221"/>
      <c r="I93" s="67" t="s">
        <v>0</v>
      </c>
      <c r="J93" s="220">
        <v>1</v>
      </c>
      <c r="K93" s="221"/>
      <c r="L93" s="66" t="s">
        <v>180</v>
      </c>
      <c r="M93" s="65"/>
      <c r="N93" s="57"/>
      <c r="Q93"/>
      <c r="R93"/>
      <c r="S93"/>
      <c r="T93"/>
      <c r="U93"/>
      <c r="V93"/>
      <c r="W93"/>
      <c r="X93"/>
    </row>
    <row r="94" spans="2:24" ht="20.100000000000001" customHeight="1" x14ac:dyDescent="0.25">
      <c r="B94" s="184"/>
      <c r="D94" s="64"/>
      <c r="E94" s="58"/>
      <c r="F94" s="59"/>
      <c r="G94" s="63"/>
      <c r="H94" s="60"/>
      <c r="I94" s="61" t="s">
        <v>381</v>
      </c>
      <c r="J94" s="61"/>
      <c r="K94" s="60"/>
      <c r="L94" s="59"/>
      <c r="M94" s="58"/>
      <c r="N94" s="57"/>
      <c r="Q94"/>
      <c r="R94"/>
      <c r="S94"/>
      <c r="T94"/>
      <c r="U94"/>
      <c r="V94"/>
      <c r="W94"/>
      <c r="X94"/>
    </row>
    <row r="95" spans="2:24" ht="5.0999999999999996" customHeight="1" x14ac:dyDescent="0.25">
      <c r="B95" s="184"/>
      <c r="D95" s="56"/>
      <c r="E95" s="54"/>
      <c r="F95" s="55"/>
      <c r="G95" s="54"/>
      <c r="H95" s="54"/>
      <c r="I95" s="54"/>
      <c r="J95" s="54"/>
      <c r="K95" s="54"/>
      <c r="L95" s="55"/>
      <c r="M95" s="54"/>
      <c r="N95" s="53"/>
      <c r="Q95"/>
      <c r="R95"/>
      <c r="S95"/>
      <c r="T95"/>
      <c r="U95"/>
      <c r="V95"/>
      <c r="W95"/>
      <c r="X95"/>
    </row>
    <row r="96" spans="2:24" ht="21.95" customHeight="1" x14ac:dyDescent="0.25">
      <c r="B96" s="184"/>
      <c r="D96" s="219" t="str">
        <f>TEXT(VLOOKUP(B98,tDatos[],IF(UTCElegido="",3,12),0),"dddd dd mmmm")</f>
        <v>lunes 15 Junio</v>
      </c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Q96"/>
      <c r="R96"/>
      <c r="S96"/>
      <c r="T96"/>
      <c r="U96"/>
      <c r="V96"/>
      <c r="W96"/>
      <c r="X96"/>
    </row>
    <row r="97" spans="2:24" ht="5.0999999999999996" customHeight="1" x14ac:dyDescent="0.25">
      <c r="B97" s="184"/>
      <c r="D97" s="74"/>
      <c r="E97" s="72"/>
      <c r="F97" s="73"/>
      <c r="G97" s="72"/>
      <c r="H97" s="72"/>
      <c r="I97" s="72"/>
      <c r="J97" s="72"/>
      <c r="K97" s="72"/>
      <c r="L97" s="73"/>
      <c r="M97" s="72"/>
      <c r="N97" s="71"/>
      <c r="Q97"/>
      <c r="R97"/>
      <c r="S97"/>
      <c r="T97"/>
      <c r="U97"/>
      <c r="V97"/>
      <c r="W97"/>
      <c r="X97"/>
    </row>
    <row r="98" spans="2:24" ht="21.95" customHeight="1" x14ac:dyDescent="0.25">
      <c r="B98" s="182">
        <v>16</v>
      </c>
      <c r="C98" s="129">
        <v>15</v>
      </c>
      <c r="D98" s="64"/>
      <c r="E98" s="222">
        <f>VLOOKUP(B98,tDatos[],IF(UTCElegido="",4,12),0)</f>
        <v>0.875</v>
      </c>
      <c r="F98" s="222"/>
      <c r="G98" s="222"/>
      <c r="H98" s="77"/>
      <c r="I98" s="77"/>
      <c r="J98" s="77"/>
      <c r="K98" s="76"/>
      <c r="L98" s="75"/>
      <c r="M98"/>
      <c r="N98" s="57"/>
      <c r="Q98"/>
      <c r="R98"/>
      <c r="S98"/>
      <c r="T98"/>
      <c r="U98"/>
      <c r="V98"/>
      <c r="W98"/>
      <c r="X98"/>
    </row>
    <row r="99" spans="2:24" ht="21.95" customHeight="1" x14ac:dyDescent="0.25">
      <c r="B99" s="184"/>
      <c r="D99" s="64"/>
      <c r="E99" s="65"/>
      <c r="F99" s="68" t="s">
        <v>179</v>
      </c>
      <c r="G99" s="220">
        <v>2</v>
      </c>
      <c r="H99" s="221"/>
      <c r="I99" s="67" t="s">
        <v>0</v>
      </c>
      <c r="J99" s="220">
        <v>2</v>
      </c>
      <c r="K99" s="221"/>
      <c r="L99" s="66" t="s">
        <v>178</v>
      </c>
      <c r="M99" s="65"/>
      <c r="N99" s="57"/>
      <c r="Q99"/>
      <c r="R99"/>
      <c r="S99"/>
      <c r="T99"/>
      <c r="U99"/>
      <c r="V99"/>
      <c r="W99"/>
      <c r="X99"/>
    </row>
    <row r="100" spans="2:24" ht="20.100000000000001" customHeight="1" x14ac:dyDescent="0.25">
      <c r="B100" s="184"/>
      <c r="D100" s="64"/>
      <c r="E100" s="58"/>
      <c r="F100" s="59"/>
      <c r="G100" s="63"/>
      <c r="H100" s="60"/>
      <c r="I100" s="61" t="s">
        <v>369</v>
      </c>
      <c r="J100" s="61"/>
      <c r="K100" s="60"/>
      <c r="L100" s="59"/>
      <c r="M100" s="58"/>
      <c r="N100" s="57"/>
      <c r="Q100"/>
      <c r="R100"/>
      <c r="S100"/>
      <c r="T100"/>
      <c r="U100"/>
      <c r="V100"/>
      <c r="W100"/>
      <c r="X100"/>
    </row>
    <row r="101" spans="2:24" ht="5.0999999999999996" customHeight="1" x14ac:dyDescent="0.25">
      <c r="B101" s="184"/>
      <c r="D101" s="56"/>
      <c r="E101" s="54"/>
      <c r="F101" s="55"/>
      <c r="G101" s="54"/>
      <c r="H101" s="54"/>
      <c r="I101" s="54"/>
      <c r="J101" s="54"/>
      <c r="K101" s="54"/>
      <c r="L101" s="55"/>
      <c r="M101" s="54"/>
      <c r="N101" s="53"/>
      <c r="Q101"/>
      <c r="R101"/>
      <c r="S101"/>
      <c r="T101"/>
      <c r="U101"/>
      <c r="V101"/>
      <c r="W101"/>
      <c r="X101"/>
    </row>
    <row r="102" spans="2:24" ht="21.95" customHeight="1" x14ac:dyDescent="0.25">
      <c r="B102" s="184"/>
      <c r="D102" s="219" t="str">
        <f>TEXT(VLOOKUP(B104,tDatos[],IF(UTCElegido="",3,12),0),"dddd dd mmmm")</f>
        <v>martes 16 Junio</v>
      </c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Q102"/>
      <c r="R102"/>
      <c r="S102"/>
      <c r="T102"/>
      <c r="U102"/>
      <c r="V102"/>
      <c r="W102"/>
      <c r="X102"/>
    </row>
    <row r="103" spans="2:24" ht="5.0999999999999996" customHeight="1" x14ac:dyDescent="0.25">
      <c r="B103" s="184"/>
      <c r="D103" s="78"/>
      <c r="E103" s="72"/>
      <c r="F103" s="73"/>
      <c r="G103" s="72"/>
      <c r="H103" s="72"/>
      <c r="I103" s="72"/>
      <c r="J103" s="72"/>
      <c r="K103" s="72"/>
      <c r="L103" s="73"/>
      <c r="M103" s="72"/>
      <c r="N103" s="71"/>
      <c r="Q103"/>
      <c r="R103"/>
      <c r="S103"/>
      <c r="T103"/>
      <c r="U103"/>
      <c r="V103"/>
      <c r="W103"/>
      <c r="X103"/>
    </row>
    <row r="104" spans="2:24" ht="21.95" customHeight="1" x14ac:dyDescent="0.25">
      <c r="B104" s="182">
        <v>17</v>
      </c>
      <c r="C104" s="129">
        <v>17</v>
      </c>
      <c r="D104" s="64"/>
      <c r="E104" s="222">
        <f>VLOOKUP(B104,tDatos[],IF(UTCElegido="",4,12),0)</f>
        <v>0.625</v>
      </c>
      <c r="F104" s="222"/>
      <c r="G104" s="222"/>
      <c r="H104" s="77"/>
      <c r="I104" s="77"/>
      <c r="J104" s="77"/>
      <c r="K104" s="76"/>
      <c r="L104" s="75"/>
      <c r="M104"/>
      <c r="N104" s="57"/>
      <c r="Q104"/>
      <c r="R104"/>
      <c r="S104"/>
      <c r="T104"/>
      <c r="U104"/>
      <c r="V104"/>
      <c r="W104"/>
      <c r="X104"/>
    </row>
    <row r="105" spans="2:24" ht="21.95" customHeight="1" x14ac:dyDescent="0.25">
      <c r="B105" s="184"/>
      <c r="D105" s="64"/>
      <c r="E105" s="65"/>
      <c r="F105" s="68" t="s">
        <v>150</v>
      </c>
      <c r="G105" s="220">
        <v>3</v>
      </c>
      <c r="H105" s="221"/>
      <c r="I105" s="67" t="s">
        <v>0</v>
      </c>
      <c r="J105" s="220">
        <v>1</v>
      </c>
      <c r="K105" s="221"/>
      <c r="L105" s="66" t="s">
        <v>149</v>
      </c>
      <c r="M105" s="65"/>
      <c r="N105" s="57"/>
      <c r="Q105"/>
      <c r="R105"/>
      <c r="S105"/>
      <c r="T105"/>
      <c r="U105"/>
      <c r="V105"/>
      <c r="W105"/>
      <c r="X105"/>
    </row>
    <row r="106" spans="2:24" ht="20.100000000000001" customHeight="1" x14ac:dyDescent="0.25">
      <c r="B106" s="184"/>
      <c r="D106" s="64"/>
      <c r="E106" s="58"/>
      <c r="F106" s="59"/>
      <c r="G106" s="63"/>
      <c r="H106" s="60"/>
      <c r="I106" s="61" t="s">
        <v>370</v>
      </c>
      <c r="J106" s="61"/>
      <c r="K106" s="60"/>
      <c r="L106" s="59"/>
      <c r="M106" s="58"/>
      <c r="N106" s="57"/>
      <c r="Q106"/>
      <c r="R106"/>
      <c r="S106"/>
      <c r="T106"/>
      <c r="U106"/>
      <c r="V106"/>
      <c r="W106"/>
      <c r="X106"/>
    </row>
    <row r="107" spans="2:24" ht="5.0999999999999996" customHeight="1" x14ac:dyDescent="0.25">
      <c r="B107" s="184"/>
      <c r="D107" s="56"/>
      <c r="E107" s="54"/>
      <c r="F107" s="55"/>
      <c r="G107" s="54"/>
      <c r="H107" s="54"/>
      <c r="I107" s="54"/>
      <c r="J107" s="54"/>
      <c r="K107" s="54"/>
      <c r="L107" s="55"/>
      <c r="M107" s="54"/>
      <c r="N107" s="53"/>
      <c r="Q107"/>
      <c r="R107"/>
      <c r="S107"/>
      <c r="T107"/>
      <c r="U107"/>
      <c r="V107"/>
      <c r="W107"/>
      <c r="X107"/>
    </row>
    <row r="108" spans="2:24" ht="21.95" customHeight="1" x14ac:dyDescent="0.25">
      <c r="B108" s="184"/>
      <c r="D108" s="219" t="str">
        <f>TEXT(VLOOKUP(B110,tDatos[],IF(UTCElegido="",3,12),0),"dddd dd mmmm")</f>
        <v>martes 16 Junio</v>
      </c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Q108"/>
      <c r="R108"/>
      <c r="S108"/>
      <c r="T108"/>
      <c r="U108"/>
      <c r="V108"/>
      <c r="W108"/>
      <c r="X108"/>
    </row>
    <row r="109" spans="2:24" ht="5.0999999999999996" customHeight="1" x14ac:dyDescent="0.25">
      <c r="B109" s="184"/>
      <c r="D109" s="74"/>
      <c r="E109" s="72"/>
      <c r="F109" s="73"/>
      <c r="G109" s="72"/>
      <c r="H109" s="72"/>
      <c r="I109" s="72"/>
      <c r="J109" s="72"/>
      <c r="K109" s="72"/>
      <c r="L109" s="73"/>
      <c r="M109" s="72"/>
      <c r="N109" s="71"/>
      <c r="Q109"/>
      <c r="R109"/>
      <c r="S109"/>
      <c r="T109"/>
      <c r="U109"/>
      <c r="V109"/>
      <c r="W109"/>
      <c r="X109"/>
    </row>
    <row r="110" spans="2:24" ht="21.95" customHeight="1" x14ac:dyDescent="0.25">
      <c r="B110" s="182">
        <v>18</v>
      </c>
      <c r="C110" s="129">
        <v>18</v>
      </c>
      <c r="D110" s="64"/>
      <c r="E110" s="222">
        <f>VLOOKUP(B110,tDatos[],IF(UTCElegido="",4,12),0)</f>
        <v>0.75</v>
      </c>
      <c r="F110" s="222"/>
      <c r="G110" s="222"/>
      <c r="H110" s="77"/>
      <c r="I110" s="77"/>
      <c r="J110" s="77"/>
      <c r="K110" s="76"/>
      <c r="L110" s="75"/>
      <c r="M110"/>
      <c r="N110" s="57"/>
      <c r="Q110"/>
      <c r="R110"/>
      <c r="S110"/>
      <c r="T110"/>
      <c r="U110"/>
      <c r="V110"/>
      <c r="W110"/>
      <c r="X110"/>
    </row>
    <row r="111" spans="2:24" ht="21.95" customHeight="1" x14ac:dyDescent="0.25">
      <c r="B111" s="184"/>
      <c r="D111" s="64"/>
      <c r="E111" s="65"/>
      <c r="F111" s="68" t="s">
        <v>285</v>
      </c>
      <c r="G111" s="220">
        <v>1</v>
      </c>
      <c r="H111" s="221"/>
      <c r="I111" s="67" t="s">
        <v>0</v>
      </c>
      <c r="J111" s="220">
        <v>4</v>
      </c>
      <c r="K111" s="221"/>
      <c r="L111" s="66" t="s">
        <v>176</v>
      </c>
      <c r="M111" s="65"/>
      <c r="N111" s="57"/>
      <c r="Q111"/>
      <c r="R111"/>
      <c r="S111"/>
      <c r="T111"/>
      <c r="U111"/>
      <c r="V111"/>
      <c r="W111"/>
      <c r="X111"/>
    </row>
    <row r="112" spans="2:24" ht="20.100000000000001" customHeight="1" x14ac:dyDescent="0.25">
      <c r="B112" s="184"/>
      <c r="D112" s="64"/>
      <c r="E112" s="58"/>
      <c r="F112" s="59"/>
      <c r="G112" s="63"/>
      <c r="H112" s="60"/>
      <c r="I112" s="61" t="s">
        <v>371</v>
      </c>
      <c r="J112" s="61"/>
      <c r="K112" s="60"/>
      <c r="L112" s="59"/>
      <c r="M112" s="58"/>
      <c r="N112" s="57"/>
      <c r="Q112"/>
      <c r="R112"/>
      <c r="S112"/>
      <c r="T112"/>
      <c r="U112"/>
      <c r="V112"/>
      <c r="W112"/>
      <c r="X112"/>
    </row>
    <row r="113" spans="2:24" ht="5.0999999999999996" customHeight="1" x14ac:dyDescent="0.25">
      <c r="B113" s="184"/>
      <c r="D113" s="56"/>
      <c r="E113" s="54"/>
      <c r="F113" s="55"/>
      <c r="G113" s="54"/>
      <c r="H113" s="54"/>
      <c r="I113" s="54"/>
      <c r="J113" s="54"/>
      <c r="K113" s="54"/>
      <c r="L113" s="55"/>
      <c r="M113" s="54"/>
      <c r="N113" s="53"/>
      <c r="Q113"/>
      <c r="R113"/>
      <c r="S113"/>
      <c r="T113"/>
      <c r="U113"/>
      <c r="V113"/>
      <c r="W113"/>
      <c r="X113"/>
    </row>
    <row r="114" spans="2:24" ht="21.95" customHeight="1" x14ac:dyDescent="0.25">
      <c r="B114" s="184"/>
      <c r="D114" s="219" t="str">
        <f>TEXT(VLOOKUP(B116,tDatos[],IF(UTCElegido="",3,12),0),"dddd dd mmmm")</f>
        <v>martes 16 Junio</v>
      </c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Q114"/>
      <c r="R114"/>
      <c r="S114"/>
      <c r="T114"/>
      <c r="U114"/>
      <c r="V114"/>
      <c r="W114"/>
      <c r="X114"/>
    </row>
    <row r="115" spans="2:24" ht="5.0999999999999996" customHeight="1" x14ac:dyDescent="0.25">
      <c r="B115" s="184"/>
      <c r="D115" s="64"/>
      <c r="E115" s="81"/>
      <c r="F115" s="82"/>
      <c r="G115" s="81"/>
      <c r="H115" s="81"/>
      <c r="I115" s="81"/>
      <c r="J115" s="81"/>
      <c r="K115" s="81"/>
      <c r="L115" s="82"/>
      <c r="M115" s="81"/>
      <c r="N115" s="57"/>
      <c r="Q115"/>
      <c r="R115"/>
      <c r="S115"/>
      <c r="T115"/>
      <c r="U115"/>
      <c r="V115"/>
      <c r="W115"/>
      <c r="X115"/>
    </row>
    <row r="116" spans="2:24" ht="21.95" customHeight="1" x14ac:dyDescent="0.25">
      <c r="B116" s="182">
        <v>19</v>
      </c>
      <c r="C116" s="129">
        <v>19</v>
      </c>
      <c r="D116" s="64"/>
      <c r="E116" s="222">
        <f>VLOOKUP(B116,tDatos[],IF(UTCElegido="",4,12),0)</f>
        <v>0.875</v>
      </c>
      <c r="F116" s="222"/>
      <c r="G116" s="222"/>
      <c r="H116" s="77"/>
      <c r="I116" s="77"/>
      <c r="J116" s="77"/>
      <c r="K116" s="76"/>
      <c r="L116" s="75"/>
      <c r="M116"/>
      <c r="N116" s="57"/>
      <c r="Q116"/>
      <c r="R116"/>
      <c r="S116"/>
      <c r="T116"/>
      <c r="U116"/>
      <c r="V116"/>
      <c r="W116"/>
      <c r="X116"/>
    </row>
    <row r="117" spans="2:24" ht="21.95" customHeight="1" x14ac:dyDescent="0.25">
      <c r="B117" s="184"/>
      <c r="D117" s="64"/>
      <c r="E117" s="65"/>
      <c r="F117" s="68" t="s">
        <v>151</v>
      </c>
      <c r="G117" s="220">
        <v>3</v>
      </c>
      <c r="H117" s="221"/>
      <c r="I117" s="67" t="s">
        <v>0</v>
      </c>
      <c r="J117" s="220">
        <v>0</v>
      </c>
      <c r="K117" s="221"/>
      <c r="L117" s="66" t="s">
        <v>147</v>
      </c>
      <c r="M117" s="65"/>
      <c r="N117" s="57"/>
      <c r="Q117"/>
      <c r="R117"/>
      <c r="S117"/>
      <c r="T117"/>
      <c r="U117"/>
      <c r="V117"/>
      <c r="W117"/>
      <c r="X117"/>
    </row>
    <row r="118" spans="2:24" ht="20.100000000000001" customHeight="1" x14ac:dyDescent="0.25">
      <c r="B118" s="184"/>
      <c r="D118" s="64"/>
      <c r="E118" s="58"/>
      <c r="F118" s="59"/>
      <c r="G118" s="63"/>
      <c r="H118" s="60"/>
      <c r="I118" s="61" t="s">
        <v>382</v>
      </c>
      <c r="J118" s="61"/>
      <c r="K118" s="60"/>
      <c r="L118" s="59"/>
      <c r="M118" s="58"/>
      <c r="N118" s="57"/>
      <c r="Q118"/>
      <c r="R118"/>
      <c r="S118"/>
      <c r="T118"/>
      <c r="U118"/>
      <c r="V118"/>
      <c r="W118"/>
      <c r="X118"/>
    </row>
    <row r="119" spans="2:24" ht="5.0999999999999996" customHeight="1" x14ac:dyDescent="0.25">
      <c r="B119" s="184"/>
      <c r="D119" s="56"/>
      <c r="E119" s="54"/>
      <c r="F119" s="55"/>
      <c r="G119" s="54"/>
      <c r="H119" s="54"/>
      <c r="I119" s="54"/>
      <c r="J119" s="54"/>
      <c r="K119" s="54"/>
      <c r="L119" s="55"/>
      <c r="M119" s="54"/>
      <c r="N119" s="53"/>
      <c r="Q119"/>
      <c r="R119"/>
      <c r="S119"/>
      <c r="T119"/>
      <c r="U119"/>
      <c r="V119"/>
      <c r="W119"/>
      <c r="X119"/>
    </row>
    <row r="120" spans="2:24" ht="21.95" customHeight="1" x14ac:dyDescent="0.25">
      <c r="B120" s="184"/>
      <c r="D120" s="219" t="str">
        <f>TEXT(VLOOKUP(B122,tDatos[],IF(UTCElegido="",3,12),0),"dddd dd mmmm")</f>
        <v>miércoles 17 Junio</v>
      </c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Q120"/>
      <c r="R120"/>
      <c r="S120"/>
      <c r="T120"/>
      <c r="U120"/>
      <c r="V120"/>
      <c r="W120"/>
      <c r="X120"/>
    </row>
    <row r="121" spans="2:24" ht="5.0999999999999996" customHeight="1" x14ac:dyDescent="0.25">
      <c r="B121" s="184"/>
      <c r="D121" s="112"/>
      <c r="E121" s="111"/>
      <c r="F121" s="111"/>
      <c r="G121" s="111"/>
      <c r="H121" s="111"/>
      <c r="I121" s="111"/>
      <c r="J121" s="111"/>
      <c r="K121" s="111"/>
      <c r="L121" s="111"/>
      <c r="M121" s="130"/>
      <c r="N121" s="113"/>
      <c r="Q121"/>
      <c r="R121"/>
      <c r="S121"/>
      <c r="T121"/>
      <c r="U121"/>
      <c r="V121"/>
      <c r="W121"/>
      <c r="X121"/>
    </row>
    <row r="122" spans="2:24" ht="21.95" customHeight="1" x14ac:dyDescent="0.25">
      <c r="B122" s="182">
        <v>20</v>
      </c>
      <c r="C122" s="129">
        <v>20</v>
      </c>
      <c r="D122" s="64"/>
      <c r="E122" s="222">
        <f>VLOOKUP(B122,tDatos[],IF(UTCElegido="",4,12),0)</f>
        <v>0</v>
      </c>
      <c r="F122" s="222"/>
      <c r="G122" s="222"/>
      <c r="H122" s="77"/>
      <c r="I122" s="77"/>
      <c r="J122" s="77"/>
      <c r="K122" s="76"/>
      <c r="L122" s="75"/>
      <c r="M122"/>
      <c r="N122" s="57"/>
      <c r="Q122"/>
      <c r="R122"/>
      <c r="S122"/>
      <c r="T122"/>
      <c r="U122"/>
      <c r="V122"/>
      <c r="W122"/>
      <c r="X122"/>
    </row>
    <row r="123" spans="2:24" ht="21.95" customHeight="1" x14ac:dyDescent="0.25">
      <c r="B123" s="184"/>
      <c r="D123" s="64"/>
      <c r="E123" s="65"/>
      <c r="F123" s="68" t="s">
        <v>175</v>
      </c>
      <c r="G123" s="220">
        <v>3</v>
      </c>
      <c r="H123" s="221"/>
      <c r="I123" s="67" t="s">
        <v>0</v>
      </c>
      <c r="J123" s="220">
        <v>1</v>
      </c>
      <c r="K123" s="221"/>
      <c r="L123" s="66" t="s">
        <v>273</v>
      </c>
      <c r="M123" s="65"/>
      <c r="N123" s="57"/>
      <c r="Q123"/>
      <c r="R123"/>
      <c r="S123"/>
      <c r="T123"/>
      <c r="U123"/>
      <c r="V123"/>
      <c r="W123"/>
      <c r="X123"/>
    </row>
    <row r="124" spans="2:24" ht="20.100000000000001" customHeight="1" x14ac:dyDescent="0.25">
      <c r="B124" s="184"/>
      <c r="D124" s="64"/>
      <c r="E124" s="58"/>
      <c r="F124" s="59"/>
      <c r="G124" s="63"/>
      <c r="H124" s="60"/>
      <c r="I124" s="61" t="s">
        <v>374</v>
      </c>
      <c r="J124" s="61"/>
      <c r="K124" s="60"/>
      <c r="L124" s="59"/>
      <c r="M124" s="58"/>
      <c r="N124" s="57"/>
      <c r="Q124"/>
      <c r="R124"/>
      <c r="S124"/>
      <c r="T124"/>
      <c r="U124"/>
      <c r="V124"/>
      <c r="W124"/>
      <c r="X124"/>
    </row>
    <row r="125" spans="2:24" ht="5.0999999999999996" customHeight="1" x14ac:dyDescent="0.25">
      <c r="B125" s="184"/>
      <c r="D125" s="56"/>
      <c r="E125" s="54"/>
      <c r="F125" s="55"/>
      <c r="G125" s="54"/>
      <c r="H125" s="54"/>
      <c r="I125" s="54"/>
      <c r="J125" s="54"/>
      <c r="K125" s="54"/>
      <c r="L125" s="55"/>
      <c r="M125" s="54"/>
      <c r="N125" s="53"/>
      <c r="Q125"/>
      <c r="R125"/>
      <c r="S125"/>
      <c r="T125"/>
      <c r="U125"/>
      <c r="V125"/>
      <c r="W125"/>
      <c r="X125"/>
    </row>
    <row r="126" spans="2:24" ht="21.95" customHeight="1" x14ac:dyDescent="0.25">
      <c r="B126" s="184"/>
      <c r="D126" s="219" t="str">
        <f>TEXT(VLOOKUP(B128,tDatos[],IF(UTCElegido="",3,12),0),"dddd dd mmmm")</f>
        <v>miércoles 17 Junio</v>
      </c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Q126"/>
      <c r="R126"/>
      <c r="S126"/>
      <c r="T126"/>
      <c r="U126"/>
      <c r="V126"/>
      <c r="W126"/>
      <c r="X126"/>
    </row>
    <row r="127" spans="2:24" ht="5.0999999999999996" customHeight="1" x14ac:dyDescent="0.25">
      <c r="B127" s="184"/>
      <c r="D127" s="74"/>
      <c r="E127" s="72"/>
      <c r="F127" s="73"/>
      <c r="G127" s="72"/>
      <c r="H127" s="72"/>
      <c r="I127" s="72"/>
      <c r="J127" s="72"/>
      <c r="K127" s="72"/>
      <c r="L127" s="73"/>
      <c r="M127" s="72"/>
      <c r="N127" s="71"/>
      <c r="Q127"/>
      <c r="R127"/>
      <c r="S127"/>
      <c r="T127"/>
      <c r="U127"/>
      <c r="V127"/>
      <c r="W127"/>
      <c r="X127"/>
    </row>
    <row r="128" spans="2:24" ht="21.95" customHeight="1" x14ac:dyDescent="0.25">
      <c r="B128" s="182">
        <v>21</v>
      </c>
      <c r="C128" s="129">
        <v>23</v>
      </c>
      <c r="D128" s="64"/>
      <c r="E128" s="222">
        <f>VLOOKUP(B128,tDatos[],IF(UTCElegido="",4,12),0)</f>
        <v>0.54166666666666663</v>
      </c>
      <c r="F128" s="222"/>
      <c r="G128" s="222"/>
      <c r="H128" s="65"/>
      <c r="I128" s="65"/>
      <c r="J128" s="65"/>
      <c r="K128" s="70"/>
      <c r="L128" s="69"/>
      <c r="M128"/>
      <c r="N128" s="57"/>
      <c r="Q128"/>
      <c r="R128"/>
      <c r="S128"/>
      <c r="T128"/>
      <c r="U128"/>
      <c r="V128"/>
      <c r="W128"/>
      <c r="X128"/>
    </row>
    <row r="129" spans="2:24" ht="21.95" customHeight="1" x14ac:dyDescent="0.25">
      <c r="B129" s="184"/>
      <c r="D129" s="64"/>
      <c r="E129" s="65"/>
      <c r="F129" s="68" t="s">
        <v>146</v>
      </c>
      <c r="G129" s="220">
        <v>1</v>
      </c>
      <c r="H129" s="221"/>
      <c r="I129" s="67" t="s">
        <v>0</v>
      </c>
      <c r="J129" s="220">
        <v>1</v>
      </c>
      <c r="K129" s="221"/>
      <c r="L129" s="66" t="s">
        <v>362</v>
      </c>
      <c r="M129" s="65"/>
      <c r="N129" s="57"/>
      <c r="Q129"/>
      <c r="R129"/>
      <c r="S129"/>
      <c r="T129"/>
      <c r="U129"/>
      <c r="V129"/>
      <c r="W129"/>
      <c r="X129"/>
    </row>
    <row r="130" spans="2:24" ht="20.100000000000001" customHeight="1" x14ac:dyDescent="0.25">
      <c r="B130" s="184"/>
      <c r="D130" s="64"/>
      <c r="E130" s="58"/>
      <c r="F130" s="59"/>
      <c r="G130" s="63"/>
      <c r="H130" s="60"/>
      <c r="I130" s="61" t="s">
        <v>375</v>
      </c>
      <c r="J130" s="61"/>
      <c r="K130" s="60"/>
      <c r="L130" s="59"/>
      <c r="M130" s="58"/>
      <c r="N130" s="57"/>
      <c r="Q130"/>
      <c r="R130"/>
      <c r="S130"/>
      <c r="T130"/>
      <c r="U130"/>
      <c r="V130"/>
      <c r="W130"/>
      <c r="X130"/>
    </row>
    <row r="131" spans="2:24" ht="5.0999999999999996" customHeight="1" x14ac:dyDescent="0.25">
      <c r="B131" s="184"/>
      <c r="D131" s="56"/>
      <c r="E131" s="54"/>
      <c r="F131" s="55"/>
      <c r="G131" s="54"/>
      <c r="H131" s="54"/>
      <c r="I131" s="54"/>
      <c r="J131" s="54"/>
      <c r="K131" s="54"/>
      <c r="L131" s="55"/>
      <c r="M131" s="54"/>
      <c r="N131" s="53"/>
      <c r="Q131"/>
      <c r="R131"/>
      <c r="S131"/>
      <c r="T131"/>
      <c r="U131"/>
      <c r="V131"/>
      <c r="W131"/>
      <c r="X131"/>
    </row>
    <row r="132" spans="2:24" ht="21.95" customHeight="1" x14ac:dyDescent="0.25">
      <c r="B132" s="184"/>
      <c r="D132" s="219" t="str">
        <f>TEXT(VLOOKUP(B134,tDatos[],IF(UTCElegido="",3,12),0),"dddd dd mmmm")</f>
        <v>miércoles 17 Junio</v>
      </c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Q132"/>
      <c r="R132"/>
      <c r="S132"/>
      <c r="T132"/>
      <c r="U132"/>
      <c r="V132"/>
      <c r="W132"/>
      <c r="X132"/>
    </row>
    <row r="133" spans="2:24" ht="5.0999999999999996" customHeight="1" x14ac:dyDescent="0.25">
      <c r="B133" s="184"/>
      <c r="D133" s="74"/>
      <c r="E133" s="72"/>
      <c r="F133" s="73"/>
      <c r="G133" s="72"/>
      <c r="H133" s="72"/>
      <c r="I133" s="72"/>
      <c r="J133" s="72"/>
      <c r="K133" s="72"/>
      <c r="L133" s="73"/>
      <c r="M133" s="72"/>
      <c r="N133" s="71"/>
      <c r="Q133"/>
      <c r="R133"/>
      <c r="S133"/>
      <c r="T133"/>
      <c r="U133"/>
      <c r="V133"/>
      <c r="W133"/>
      <c r="X133"/>
    </row>
    <row r="134" spans="2:24" ht="21.95" customHeight="1" x14ac:dyDescent="0.25">
      <c r="B134" s="182">
        <v>22</v>
      </c>
      <c r="C134" s="129">
        <v>22</v>
      </c>
      <c r="D134" s="64"/>
      <c r="E134" s="222">
        <f>VLOOKUP(B134,tDatos[],IF(UTCElegido="",4,12),0)</f>
        <v>0.66666666666666663</v>
      </c>
      <c r="F134" s="222"/>
      <c r="G134" s="222"/>
      <c r="H134" s="77"/>
      <c r="I134" s="77"/>
      <c r="J134" s="77"/>
      <c r="K134" s="76"/>
      <c r="L134" s="75"/>
      <c r="M134"/>
      <c r="N134" s="57"/>
      <c r="Q134"/>
      <c r="R134"/>
      <c r="S134"/>
      <c r="T134"/>
      <c r="U134"/>
      <c r="V134"/>
      <c r="W134"/>
      <c r="X134"/>
    </row>
    <row r="135" spans="2:24" ht="21.95" customHeight="1" x14ac:dyDescent="0.25">
      <c r="B135" s="184"/>
      <c r="D135" s="64"/>
      <c r="E135" s="65"/>
      <c r="F135" s="68" t="s">
        <v>145</v>
      </c>
      <c r="G135" s="220">
        <v>4</v>
      </c>
      <c r="H135" s="221"/>
      <c r="I135" s="67" t="s">
        <v>0</v>
      </c>
      <c r="J135" s="220">
        <v>2</v>
      </c>
      <c r="K135" s="221"/>
      <c r="L135" s="66" t="s">
        <v>144</v>
      </c>
      <c r="M135" s="65"/>
      <c r="N135" s="57"/>
      <c r="Q135"/>
      <c r="R135"/>
      <c r="S135"/>
      <c r="T135"/>
      <c r="U135"/>
      <c r="V135"/>
      <c r="W135"/>
      <c r="X135"/>
    </row>
    <row r="136" spans="2:24" ht="20.100000000000001" customHeight="1" x14ac:dyDescent="0.25">
      <c r="B136" s="184"/>
      <c r="D136" s="64"/>
      <c r="E136" s="58"/>
      <c r="F136" s="59"/>
      <c r="G136" s="63"/>
      <c r="H136" s="60"/>
      <c r="I136" s="61" t="s">
        <v>376</v>
      </c>
      <c r="J136" s="61"/>
      <c r="K136" s="60"/>
      <c r="L136" s="59"/>
      <c r="M136" s="58"/>
      <c r="N136" s="57"/>
      <c r="Q136"/>
      <c r="R136"/>
      <c r="S136"/>
      <c r="T136"/>
      <c r="U136"/>
      <c r="V136"/>
      <c r="W136"/>
      <c r="X136"/>
    </row>
    <row r="137" spans="2:24" ht="5.0999999999999996" customHeight="1" x14ac:dyDescent="0.25">
      <c r="B137" s="184"/>
      <c r="D137" s="56"/>
      <c r="E137" s="54"/>
      <c r="F137" s="55"/>
      <c r="G137" s="54"/>
      <c r="H137" s="54"/>
      <c r="I137" s="54"/>
      <c r="J137" s="54"/>
      <c r="K137" s="54"/>
      <c r="L137" s="55"/>
      <c r="M137" s="54"/>
      <c r="N137" s="53"/>
      <c r="Q137"/>
      <c r="R137"/>
      <c r="S137"/>
      <c r="T137"/>
      <c r="U137"/>
      <c r="V137"/>
      <c r="W137"/>
      <c r="X137"/>
    </row>
    <row r="138" spans="2:24" ht="21.95" customHeight="1" x14ac:dyDescent="0.25">
      <c r="B138" s="184"/>
      <c r="D138" s="219" t="str">
        <f>TEXT(VLOOKUP(B140,tDatos[],IF(UTCElegido="",3,12),0),"dddd dd mmmm")</f>
        <v>miércoles 17 Junio</v>
      </c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Q138"/>
      <c r="R138"/>
      <c r="S138"/>
      <c r="T138"/>
      <c r="U138"/>
      <c r="V138"/>
      <c r="W138"/>
      <c r="X138"/>
    </row>
    <row r="139" spans="2:24" ht="5.0999999999999996" customHeight="1" x14ac:dyDescent="0.25">
      <c r="B139" s="184"/>
      <c r="D139" s="74"/>
      <c r="E139" s="72"/>
      <c r="F139" s="73"/>
      <c r="G139" s="72"/>
      <c r="H139" s="72"/>
      <c r="I139" s="72"/>
      <c r="J139" s="72"/>
      <c r="K139" s="72"/>
      <c r="L139" s="73"/>
      <c r="M139" s="72"/>
      <c r="N139" s="71"/>
      <c r="Q139"/>
      <c r="R139"/>
      <c r="S139"/>
      <c r="T139"/>
      <c r="U139"/>
      <c r="V139"/>
      <c r="W139"/>
      <c r="X139"/>
    </row>
    <row r="140" spans="2:24" ht="21.95" customHeight="1" x14ac:dyDescent="0.25">
      <c r="B140" s="182">
        <v>23</v>
      </c>
      <c r="C140" s="129">
        <v>21</v>
      </c>
      <c r="D140" s="64"/>
      <c r="E140" s="222">
        <f>VLOOKUP(B140,tDatos[],IF(UTCElegido="",4,12),0)</f>
        <v>0.79166666666666663</v>
      </c>
      <c r="F140" s="222"/>
      <c r="G140" s="222"/>
      <c r="H140" s="77"/>
      <c r="I140" s="77"/>
      <c r="J140" s="77"/>
      <c r="K140" s="76"/>
      <c r="L140" s="75"/>
      <c r="M140"/>
      <c r="N140" s="57"/>
      <c r="Q140"/>
      <c r="R140"/>
      <c r="S140"/>
      <c r="T140"/>
      <c r="U140"/>
      <c r="V140"/>
      <c r="W140"/>
      <c r="X140"/>
    </row>
    <row r="141" spans="2:24" ht="21.95" customHeight="1" x14ac:dyDescent="0.25">
      <c r="B141" s="184"/>
      <c r="D141" s="64"/>
      <c r="E141" s="65"/>
      <c r="F141" s="68" t="s">
        <v>174</v>
      </c>
      <c r="G141" s="220">
        <v>1</v>
      </c>
      <c r="H141" s="221"/>
      <c r="I141" s="67" t="s">
        <v>0</v>
      </c>
      <c r="J141" s="220">
        <v>0</v>
      </c>
      <c r="K141" s="221"/>
      <c r="L141" s="66" t="s">
        <v>173</v>
      </c>
      <c r="M141" s="65"/>
      <c r="N141" s="57"/>
      <c r="Q141"/>
      <c r="R141"/>
      <c r="S141"/>
      <c r="T141"/>
      <c r="U141"/>
      <c r="V141"/>
      <c r="W141"/>
      <c r="X141"/>
    </row>
    <row r="142" spans="2:24" ht="20.100000000000001" customHeight="1" x14ac:dyDescent="0.25">
      <c r="B142" s="184"/>
      <c r="D142" s="64"/>
      <c r="E142" s="58"/>
      <c r="F142" s="59"/>
      <c r="G142" s="63"/>
      <c r="H142" s="60"/>
      <c r="I142" s="61" t="s">
        <v>373</v>
      </c>
      <c r="J142" s="61"/>
      <c r="K142" s="60"/>
      <c r="L142" s="59"/>
      <c r="M142" s="58"/>
      <c r="N142" s="57"/>
      <c r="Q142"/>
      <c r="R142"/>
      <c r="S142"/>
      <c r="T142"/>
      <c r="U142"/>
      <c r="V142"/>
      <c r="W142"/>
      <c r="X142"/>
    </row>
    <row r="143" spans="2:24" ht="5.0999999999999996" customHeight="1" x14ac:dyDescent="0.25">
      <c r="B143" s="184"/>
      <c r="D143" s="56"/>
      <c r="E143" s="54"/>
      <c r="F143" s="55"/>
      <c r="G143" s="54"/>
      <c r="H143" s="54"/>
      <c r="I143" s="54"/>
      <c r="J143" s="54"/>
      <c r="K143" s="54"/>
      <c r="L143" s="55"/>
      <c r="M143" s="54"/>
      <c r="N143" s="53"/>
      <c r="Q143"/>
      <c r="R143"/>
      <c r="S143"/>
      <c r="T143"/>
      <c r="U143"/>
      <c r="V143"/>
      <c r="W143"/>
      <c r="X143"/>
    </row>
    <row r="144" spans="2:24" ht="21.95" customHeight="1" x14ac:dyDescent="0.25">
      <c r="B144" s="184"/>
      <c r="D144" s="219" t="str">
        <f>TEXT(VLOOKUP(B146,tDatos[],IF(UTCElegido="",3,12),0),"dddd dd mmmm")</f>
        <v>miércoles 17 Junio</v>
      </c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Q144"/>
      <c r="R144"/>
      <c r="S144"/>
      <c r="T144"/>
      <c r="U144"/>
      <c r="V144"/>
      <c r="W144"/>
      <c r="X144"/>
    </row>
    <row r="145" spans="2:24" ht="5.0999999999999996" customHeight="1" x14ac:dyDescent="0.25">
      <c r="B145" s="184"/>
      <c r="D145" s="74"/>
      <c r="E145" s="72"/>
      <c r="F145" s="73"/>
      <c r="G145" s="72"/>
      <c r="H145" s="72"/>
      <c r="I145" s="72"/>
      <c r="J145" s="72"/>
      <c r="K145" s="72"/>
      <c r="L145" s="73"/>
      <c r="M145" s="72"/>
      <c r="N145" s="71"/>
      <c r="Q145"/>
      <c r="R145"/>
      <c r="S145"/>
      <c r="T145"/>
      <c r="U145"/>
      <c r="V145"/>
      <c r="W145"/>
      <c r="X145"/>
    </row>
    <row r="146" spans="2:24" ht="21.95" customHeight="1" x14ac:dyDescent="0.25">
      <c r="B146" s="182">
        <v>24</v>
      </c>
      <c r="C146" s="129">
        <v>24</v>
      </c>
      <c r="D146" s="64"/>
      <c r="E146" s="222">
        <f>VLOOKUP(B146,tDatos[],IF(UTCElegido="",4,12),0)</f>
        <v>0.91666666666666663</v>
      </c>
      <c r="F146" s="222"/>
      <c r="G146" s="222"/>
      <c r="H146" s="77"/>
      <c r="I146" s="77"/>
      <c r="J146" s="77"/>
      <c r="K146" s="76"/>
      <c r="L146" s="75"/>
      <c r="M146"/>
      <c r="N146" s="57"/>
      <c r="Q146"/>
      <c r="R146"/>
      <c r="S146"/>
      <c r="T146"/>
      <c r="U146"/>
      <c r="V146"/>
      <c r="W146"/>
      <c r="X146"/>
    </row>
    <row r="147" spans="2:24" ht="21.95" customHeight="1" x14ac:dyDescent="0.25">
      <c r="B147" s="184"/>
      <c r="D147" s="64"/>
      <c r="E147" s="65"/>
      <c r="F147" s="68" t="s">
        <v>172</v>
      </c>
      <c r="G147" s="220">
        <v>1</v>
      </c>
      <c r="H147" s="221"/>
      <c r="I147" s="67" t="s">
        <v>0</v>
      </c>
      <c r="J147" s="220">
        <v>3</v>
      </c>
      <c r="K147" s="221"/>
      <c r="L147" s="66" t="s">
        <v>171</v>
      </c>
      <c r="M147" s="65"/>
      <c r="N147" s="57"/>
      <c r="Q147"/>
      <c r="R147"/>
      <c r="S147"/>
      <c r="T147"/>
      <c r="U147"/>
      <c r="V147"/>
      <c r="W147"/>
      <c r="X147"/>
    </row>
    <row r="148" spans="2:24" ht="20.100000000000001" customHeight="1" x14ac:dyDescent="0.25">
      <c r="B148" s="184"/>
      <c r="D148" s="64"/>
      <c r="E148" s="58"/>
      <c r="F148" s="59"/>
      <c r="G148" s="63"/>
      <c r="H148" s="60"/>
      <c r="I148" s="61" t="s">
        <v>366</v>
      </c>
      <c r="J148" s="61"/>
      <c r="K148" s="60"/>
      <c r="L148" s="59"/>
      <c r="M148" s="58"/>
      <c r="N148" s="57"/>
      <c r="Q148"/>
      <c r="R148"/>
      <c r="S148"/>
      <c r="T148"/>
      <c r="U148"/>
      <c r="V148"/>
      <c r="W148"/>
      <c r="X148"/>
    </row>
    <row r="149" spans="2:24" ht="5.0999999999999996" customHeight="1" x14ac:dyDescent="0.25">
      <c r="B149" s="184"/>
      <c r="D149" s="56"/>
      <c r="E149" s="54"/>
      <c r="F149" s="55"/>
      <c r="G149" s="54"/>
      <c r="H149" s="54"/>
      <c r="I149" s="54"/>
      <c r="J149" s="54"/>
      <c r="K149" s="54"/>
      <c r="L149" s="55"/>
      <c r="M149" s="54"/>
      <c r="N149" s="53"/>
      <c r="Q149"/>
      <c r="R149"/>
      <c r="S149"/>
      <c r="T149"/>
      <c r="U149"/>
      <c r="V149"/>
      <c r="W149"/>
      <c r="X149"/>
    </row>
    <row r="150" spans="2:24" ht="21.95" customHeight="1" x14ac:dyDescent="0.25">
      <c r="B150" s="184"/>
      <c r="D150" s="219" t="str">
        <f>TEXT(VLOOKUP(B152,tDatos[],IF(UTCElegido="",3,12),0),"dddd dd mmmm")</f>
        <v>jueves 18 Junio</v>
      </c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Q150"/>
      <c r="R150"/>
      <c r="S150"/>
      <c r="T150"/>
      <c r="U150"/>
      <c r="V150"/>
      <c r="W150"/>
      <c r="X150"/>
    </row>
    <row r="151" spans="2:24" ht="5.0999999999999996" customHeight="1" x14ac:dyDescent="0.25">
      <c r="B151" s="184"/>
      <c r="D151" s="78"/>
      <c r="E151" s="72"/>
      <c r="F151" s="73"/>
      <c r="G151" s="72"/>
      <c r="H151" s="72"/>
      <c r="I151" s="72"/>
      <c r="J151" s="72"/>
      <c r="K151" s="72"/>
      <c r="L151" s="73"/>
      <c r="M151" s="72"/>
      <c r="N151" s="71"/>
      <c r="Q151"/>
      <c r="R151"/>
      <c r="S151"/>
      <c r="T151"/>
      <c r="U151"/>
      <c r="V151"/>
      <c r="W151"/>
      <c r="X151"/>
    </row>
    <row r="152" spans="2:24" ht="21.95" customHeight="1" x14ac:dyDescent="0.25">
      <c r="B152" s="182">
        <v>25</v>
      </c>
      <c r="C152" s="129">
        <v>25</v>
      </c>
      <c r="D152" s="64"/>
      <c r="E152" s="222">
        <f>VLOOKUP(B152,tDatos[],IF(UTCElegido="",4,12),0)</f>
        <v>0.5</v>
      </c>
      <c r="F152" s="222"/>
      <c r="G152" s="222"/>
      <c r="H152" s="65"/>
      <c r="I152" s="65"/>
      <c r="J152" s="65"/>
      <c r="K152" s="70"/>
      <c r="L152" s="69"/>
      <c r="M152"/>
      <c r="N152" s="57"/>
      <c r="Q152"/>
      <c r="R152"/>
      <c r="S152"/>
      <c r="T152"/>
      <c r="U152"/>
      <c r="V152"/>
      <c r="W152"/>
      <c r="X152"/>
    </row>
    <row r="153" spans="2:24" ht="21.95" customHeight="1" x14ac:dyDescent="0.25">
      <c r="B153" s="184"/>
      <c r="D153" s="64"/>
      <c r="E153" s="65"/>
      <c r="F153" s="68" t="s">
        <v>314</v>
      </c>
      <c r="G153" s="220">
        <v>1</v>
      </c>
      <c r="H153" s="221"/>
      <c r="I153" s="67" t="s">
        <v>0</v>
      </c>
      <c r="J153" s="220">
        <v>1</v>
      </c>
      <c r="K153" s="221"/>
      <c r="L153" s="66" t="s">
        <v>169</v>
      </c>
      <c r="M153" s="65"/>
      <c r="N153" s="57"/>
      <c r="Q153"/>
      <c r="R153"/>
      <c r="S153"/>
      <c r="T153"/>
      <c r="U153"/>
      <c r="V153"/>
      <c r="W153"/>
      <c r="X153"/>
    </row>
    <row r="154" spans="2:24" ht="20.100000000000001" customHeight="1" x14ac:dyDescent="0.25">
      <c r="B154" s="184"/>
      <c r="D154" s="64"/>
      <c r="E154" s="58"/>
      <c r="F154" s="59"/>
      <c r="G154" s="63"/>
      <c r="H154" s="60"/>
      <c r="I154" s="62" t="s">
        <v>379</v>
      </c>
      <c r="J154" s="61"/>
      <c r="K154" s="60"/>
      <c r="L154" s="59"/>
      <c r="M154" s="58"/>
      <c r="N154" s="57"/>
      <c r="Q154"/>
      <c r="R154"/>
      <c r="S154"/>
      <c r="T154"/>
      <c r="U154"/>
      <c r="V154"/>
      <c r="W154"/>
      <c r="X154"/>
    </row>
    <row r="155" spans="2:24" ht="5.0999999999999996" customHeight="1" x14ac:dyDescent="0.25">
      <c r="B155" s="184"/>
      <c r="D155" s="56"/>
      <c r="E155" s="54"/>
      <c r="F155" s="55"/>
      <c r="G155" s="54"/>
      <c r="H155" s="54"/>
      <c r="I155" s="54"/>
      <c r="J155" s="54"/>
      <c r="K155" s="54"/>
      <c r="L155" s="55"/>
      <c r="M155" s="54"/>
      <c r="N155" s="53"/>
      <c r="Q155"/>
      <c r="R155"/>
      <c r="S155"/>
      <c r="T155"/>
      <c r="U155"/>
      <c r="V155"/>
      <c r="W155"/>
      <c r="X155"/>
    </row>
    <row r="156" spans="2:24" ht="21.95" customHeight="1" x14ac:dyDescent="0.25">
      <c r="B156" s="184"/>
      <c r="D156" s="219" t="str">
        <f>TEXT(VLOOKUP(B158,tDatos[],IF(UTCElegido="",3,12),0),"dddd dd mmmm")</f>
        <v>jueves 18 Junio</v>
      </c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Q156"/>
      <c r="R156"/>
      <c r="S156"/>
      <c r="T156"/>
      <c r="U156"/>
      <c r="V156"/>
      <c r="W156"/>
      <c r="X156"/>
    </row>
    <row r="157" spans="2:24" ht="5.0999999999999996" customHeight="1" x14ac:dyDescent="0.25">
      <c r="B157" s="184"/>
      <c r="D157" s="74"/>
      <c r="E157" s="72"/>
      <c r="F157" s="73"/>
      <c r="G157" s="72"/>
      <c r="H157" s="72"/>
      <c r="I157" s="72"/>
      <c r="J157" s="72"/>
      <c r="K157" s="72"/>
      <c r="L157" s="73"/>
      <c r="M157" s="72"/>
      <c r="N157" s="71"/>
      <c r="Q157"/>
      <c r="R157"/>
      <c r="S157"/>
      <c r="T157"/>
      <c r="U157"/>
      <c r="V157"/>
      <c r="W157"/>
      <c r="X157"/>
    </row>
    <row r="158" spans="2:24" ht="21.95" customHeight="1" x14ac:dyDescent="0.25">
      <c r="B158" s="182">
        <v>26</v>
      </c>
      <c r="C158" s="129">
        <v>26</v>
      </c>
      <c r="D158" s="64"/>
      <c r="E158" s="222">
        <f>VLOOKUP(B158,tDatos[],IF(UTCElegido="",4,12),0)</f>
        <v>0.625</v>
      </c>
      <c r="F158" s="222"/>
      <c r="G158" s="222"/>
      <c r="H158" s="65"/>
      <c r="I158" s="65"/>
      <c r="J158" s="65"/>
      <c r="K158" s="70"/>
      <c r="L158" s="69"/>
      <c r="M158"/>
      <c r="N158" s="57"/>
      <c r="Q158"/>
      <c r="R158"/>
      <c r="S158"/>
      <c r="T158"/>
      <c r="U158"/>
      <c r="V158"/>
      <c r="W158"/>
      <c r="X158"/>
    </row>
    <row r="159" spans="2:24" ht="21.95" customHeight="1" x14ac:dyDescent="0.25">
      <c r="B159" s="184"/>
      <c r="D159" s="64"/>
      <c r="E159" s="65"/>
      <c r="F159" s="68" t="s">
        <v>142</v>
      </c>
      <c r="G159" s="220">
        <v>4</v>
      </c>
      <c r="H159" s="221"/>
      <c r="I159" s="67" t="s">
        <v>0</v>
      </c>
      <c r="J159" s="220">
        <v>1</v>
      </c>
      <c r="K159" s="221"/>
      <c r="L159" s="66" t="s">
        <v>280</v>
      </c>
      <c r="M159" s="65"/>
      <c r="N159" s="57"/>
      <c r="Q159"/>
      <c r="R159"/>
      <c r="S159"/>
      <c r="T159"/>
      <c r="U159"/>
      <c r="V159"/>
      <c r="W159"/>
      <c r="X159"/>
    </row>
    <row r="160" spans="2:24" ht="20.100000000000001" customHeight="1" x14ac:dyDescent="0.25">
      <c r="B160" s="184"/>
      <c r="D160" s="64"/>
      <c r="E160" s="58"/>
      <c r="F160" s="59"/>
      <c r="G160" s="63"/>
      <c r="H160" s="60"/>
      <c r="I160" s="61" t="s">
        <v>369</v>
      </c>
      <c r="J160" s="61"/>
      <c r="K160" s="60"/>
      <c r="L160" s="59"/>
      <c r="M160" s="58"/>
      <c r="N160" s="57"/>
      <c r="Q160"/>
      <c r="R160"/>
      <c r="S160"/>
      <c r="T160"/>
      <c r="U160"/>
      <c r="V160"/>
      <c r="W160"/>
      <c r="X160"/>
    </row>
    <row r="161" spans="2:24" ht="5.0999999999999996" customHeight="1" x14ac:dyDescent="0.25">
      <c r="B161" s="184"/>
      <c r="D161" s="56"/>
      <c r="E161" s="54"/>
      <c r="F161" s="55"/>
      <c r="G161" s="54"/>
      <c r="H161" s="54"/>
      <c r="I161" s="54"/>
      <c r="J161" s="54"/>
      <c r="K161" s="54"/>
      <c r="L161" s="55"/>
      <c r="M161" s="54"/>
      <c r="N161" s="53"/>
      <c r="Q161"/>
      <c r="R161"/>
      <c r="S161"/>
      <c r="T161"/>
      <c r="U161"/>
      <c r="V161"/>
      <c r="W161"/>
      <c r="X161"/>
    </row>
    <row r="162" spans="2:24" ht="21.95" customHeight="1" x14ac:dyDescent="0.25">
      <c r="B162" s="184"/>
      <c r="D162" s="219" t="str">
        <f>TEXT(VLOOKUP(B164,tDatos[],IF(UTCElegido="",3,12),0),"dddd dd mmmm")</f>
        <v>jueves 18 Junio</v>
      </c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Q162"/>
      <c r="R162"/>
      <c r="S162"/>
      <c r="T162"/>
      <c r="U162"/>
      <c r="V162"/>
      <c r="W162"/>
      <c r="X162"/>
    </row>
    <row r="163" spans="2:24" ht="5.0999999999999996" customHeight="1" x14ac:dyDescent="0.25">
      <c r="B163" s="184"/>
      <c r="D163" s="74"/>
      <c r="E163" s="72"/>
      <c r="F163" s="73"/>
      <c r="G163" s="72"/>
      <c r="H163" s="72"/>
      <c r="I163" s="72"/>
      <c r="J163" s="72"/>
      <c r="K163" s="72"/>
      <c r="L163" s="73"/>
      <c r="M163" s="72"/>
      <c r="N163" s="71"/>
      <c r="Q163"/>
      <c r="R163"/>
      <c r="S163"/>
      <c r="T163"/>
      <c r="U163"/>
      <c r="V163"/>
      <c r="W163"/>
      <c r="X163"/>
    </row>
    <row r="164" spans="2:24" ht="21.95" customHeight="1" x14ac:dyDescent="0.25">
      <c r="B164" s="182">
        <v>27</v>
      </c>
      <c r="C164" s="129">
        <v>27</v>
      </c>
      <c r="D164" s="64"/>
      <c r="E164" s="222">
        <f>VLOOKUP(B164,tDatos[],IF(UTCElegido="",4,12),0)</f>
        <v>0.75</v>
      </c>
      <c r="F164" s="222"/>
      <c r="G164" s="222"/>
      <c r="H164" s="77"/>
      <c r="I164" s="77"/>
      <c r="J164" s="77"/>
      <c r="K164" s="76"/>
      <c r="L164" s="75"/>
      <c r="M164"/>
      <c r="N164" s="57"/>
      <c r="Q164"/>
      <c r="R164"/>
      <c r="S164"/>
      <c r="T164"/>
      <c r="U164"/>
      <c r="V164"/>
      <c r="W164"/>
      <c r="X164"/>
    </row>
    <row r="165" spans="2:24" ht="21.95" customHeight="1" x14ac:dyDescent="0.25">
      <c r="B165" s="184"/>
      <c r="D165" s="64"/>
      <c r="E165" s="65"/>
      <c r="F165" s="68" t="s">
        <v>168</v>
      </c>
      <c r="G165" s="220">
        <v>6</v>
      </c>
      <c r="H165" s="221"/>
      <c r="I165" s="67" t="s">
        <v>0</v>
      </c>
      <c r="J165" s="220">
        <v>0</v>
      </c>
      <c r="K165" s="221"/>
      <c r="L165" s="66" t="s">
        <v>139</v>
      </c>
      <c r="M165" s="65"/>
      <c r="N165" s="57"/>
      <c r="Q165"/>
      <c r="R165"/>
      <c r="S165"/>
      <c r="T165"/>
      <c r="U165"/>
      <c r="V165"/>
      <c r="W165"/>
      <c r="X165"/>
    </row>
    <row r="166" spans="2:24" ht="20.100000000000001" customHeight="1" x14ac:dyDescent="0.25">
      <c r="B166" s="184"/>
      <c r="D166" s="64"/>
      <c r="E166" s="58"/>
      <c r="F166" s="59"/>
      <c r="G166" s="63"/>
      <c r="H166" s="60"/>
      <c r="I166" s="61" t="s">
        <v>372</v>
      </c>
      <c r="J166" s="61"/>
      <c r="K166" s="60"/>
      <c r="L166" s="59"/>
      <c r="M166" s="58"/>
      <c r="N166" s="57"/>
      <c r="Q166"/>
      <c r="R166"/>
      <c r="S166"/>
      <c r="T166"/>
      <c r="U166"/>
      <c r="V166"/>
      <c r="W166"/>
      <c r="X166"/>
    </row>
    <row r="167" spans="2:24" ht="5.0999999999999996" customHeight="1" x14ac:dyDescent="0.25">
      <c r="B167" s="184"/>
      <c r="D167" s="56"/>
      <c r="E167" s="54"/>
      <c r="F167" s="55"/>
      <c r="G167" s="54"/>
      <c r="H167" s="54"/>
      <c r="I167" s="54"/>
      <c r="J167" s="54"/>
      <c r="K167" s="54"/>
      <c r="L167" s="55"/>
      <c r="M167" s="54"/>
      <c r="N167" s="53"/>
      <c r="Q167"/>
      <c r="R167"/>
      <c r="S167"/>
      <c r="T167"/>
      <c r="U167"/>
      <c r="V167"/>
      <c r="W167"/>
      <c r="X167"/>
    </row>
    <row r="168" spans="2:24" ht="21.95" customHeight="1" x14ac:dyDescent="0.25">
      <c r="B168" s="184"/>
      <c r="D168" s="219" t="str">
        <f>TEXT(VLOOKUP(B170,tDatos[],IF(UTCElegido="",3,12),0),"dddd dd mmmm")</f>
        <v>jueves 18 Junio</v>
      </c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  <c r="Q168"/>
      <c r="R168"/>
      <c r="S168"/>
      <c r="T168"/>
      <c r="U168"/>
      <c r="V168"/>
      <c r="W168"/>
      <c r="X168"/>
    </row>
    <row r="169" spans="2:24" ht="5.0999999999999996" customHeight="1" x14ac:dyDescent="0.25">
      <c r="B169" s="184"/>
      <c r="D169" s="74"/>
      <c r="E169" s="72"/>
      <c r="F169" s="73"/>
      <c r="G169" s="72"/>
      <c r="H169" s="72"/>
      <c r="I169" s="72"/>
      <c r="J169" s="72"/>
      <c r="K169" s="72"/>
      <c r="L169" s="73"/>
      <c r="M169" s="72"/>
      <c r="N169" s="71"/>
      <c r="Q169"/>
      <c r="R169"/>
      <c r="S169"/>
      <c r="T169"/>
      <c r="U169"/>
      <c r="V169"/>
      <c r="W169"/>
      <c r="X169"/>
    </row>
    <row r="170" spans="2:24" ht="21.95" customHeight="1" x14ac:dyDescent="0.25">
      <c r="B170" s="182">
        <v>28</v>
      </c>
      <c r="C170" s="129">
        <v>28</v>
      </c>
      <c r="D170" s="64"/>
      <c r="E170" s="222">
        <f>VLOOKUP(B170,tDatos[],IF(UTCElegido="",4,12),0)</f>
        <v>0.875</v>
      </c>
      <c r="F170" s="222"/>
      <c r="G170" s="222"/>
      <c r="H170" s="77"/>
      <c r="I170" s="77"/>
      <c r="J170" s="77"/>
      <c r="K170" s="76"/>
      <c r="L170" s="75"/>
      <c r="M170"/>
      <c r="N170" s="57"/>
      <c r="Q170"/>
      <c r="R170"/>
      <c r="S170"/>
      <c r="T170"/>
      <c r="U170"/>
      <c r="V170"/>
      <c r="W170"/>
      <c r="X170"/>
    </row>
    <row r="171" spans="2:24" ht="21.95" customHeight="1" x14ac:dyDescent="0.25">
      <c r="B171" s="184"/>
      <c r="D171" s="64"/>
      <c r="E171" s="65"/>
      <c r="F171" s="68" t="s">
        <v>167</v>
      </c>
      <c r="G171" s="220">
        <v>1</v>
      </c>
      <c r="H171" s="221"/>
      <c r="I171" s="67" t="s">
        <v>0</v>
      </c>
      <c r="J171" s="220">
        <v>0</v>
      </c>
      <c r="K171" s="221"/>
      <c r="L171" s="66" t="s">
        <v>363</v>
      </c>
      <c r="M171" s="65"/>
      <c r="N171" s="57"/>
      <c r="Q171"/>
      <c r="R171"/>
      <c r="S171"/>
      <c r="T171"/>
      <c r="U171"/>
      <c r="V171"/>
      <c r="W171"/>
      <c r="X171"/>
    </row>
    <row r="172" spans="2:24" ht="20.100000000000001" customHeight="1" x14ac:dyDescent="0.25">
      <c r="B172" s="184"/>
      <c r="D172" s="64"/>
      <c r="E172" s="58"/>
      <c r="F172" s="59"/>
      <c r="G172" s="63"/>
      <c r="H172" s="60"/>
      <c r="I172" s="61" t="s">
        <v>367</v>
      </c>
      <c r="J172" s="61"/>
      <c r="K172" s="60"/>
      <c r="L172" s="59"/>
      <c r="M172" s="58"/>
      <c r="N172" s="57"/>
      <c r="Q172"/>
      <c r="R172"/>
      <c r="S172"/>
      <c r="T172"/>
      <c r="U172"/>
      <c r="V172"/>
      <c r="W172"/>
      <c r="X172"/>
    </row>
    <row r="173" spans="2:24" ht="5.0999999999999996" customHeight="1" x14ac:dyDescent="0.25">
      <c r="B173" s="184"/>
      <c r="D173" s="56"/>
      <c r="E173" s="54"/>
      <c r="F173" s="55"/>
      <c r="G173" s="54"/>
      <c r="H173" s="54"/>
      <c r="I173" s="54"/>
      <c r="J173" s="54"/>
      <c r="K173" s="54"/>
      <c r="L173" s="55"/>
      <c r="M173" s="54"/>
      <c r="N173" s="53"/>
      <c r="Q173"/>
      <c r="R173"/>
      <c r="S173"/>
      <c r="T173"/>
      <c r="U173"/>
      <c r="V173"/>
      <c r="W173"/>
      <c r="X173"/>
    </row>
    <row r="174" spans="2:24" ht="21.95" customHeight="1" x14ac:dyDescent="0.25">
      <c r="B174" s="184"/>
      <c r="D174" s="219" t="str">
        <f>TEXT(VLOOKUP(B176,tDatos[],IF(UTCElegido="",3,12),0),"dddd dd mmmm")</f>
        <v>viernes 19 Junio</v>
      </c>
      <c r="E174" s="219"/>
      <c r="F174" s="219"/>
      <c r="G174" s="219"/>
      <c r="H174" s="219"/>
      <c r="I174" s="219"/>
      <c r="J174" s="219"/>
      <c r="K174" s="219"/>
      <c r="L174" s="219"/>
      <c r="M174" s="219"/>
      <c r="N174" s="219"/>
      <c r="Q174"/>
      <c r="R174"/>
      <c r="S174"/>
      <c r="T174"/>
      <c r="U174"/>
      <c r="V174"/>
      <c r="W174"/>
      <c r="X174"/>
    </row>
    <row r="175" spans="2:24" ht="5.0999999999999996" customHeight="1" x14ac:dyDescent="0.25">
      <c r="B175" s="184"/>
      <c r="D175" s="78"/>
      <c r="E175" s="72"/>
      <c r="F175" s="73"/>
      <c r="G175" s="72"/>
      <c r="H175" s="72"/>
      <c r="I175" s="72"/>
      <c r="J175" s="72"/>
      <c r="K175" s="72"/>
      <c r="L175" s="73"/>
      <c r="M175" s="72"/>
      <c r="N175" s="71"/>
      <c r="Q175"/>
      <c r="R175"/>
      <c r="S175"/>
      <c r="T175"/>
      <c r="U175"/>
      <c r="V175"/>
      <c r="W175"/>
      <c r="X175"/>
    </row>
    <row r="176" spans="2:24" ht="21.95" customHeight="1" x14ac:dyDescent="0.25">
      <c r="B176" s="182">
        <v>29</v>
      </c>
      <c r="C176" s="129">
        <v>32</v>
      </c>
      <c r="D176" s="64"/>
      <c r="E176" s="222">
        <f>VLOOKUP(B176,tDatos[],IF(UTCElegido="",4,12),0)</f>
        <v>0.625</v>
      </c>
      <c r="F176" s="222"/>
      <c r="G176" s="222"/>
      <c r="H176" s="77"/>
      <c r="I176" s="77"/>
      <c r="J176" s="77"/>
      <c r="K176" s="76"/>
      <c r="L176" s="75"/>
      <c r="M176"/>
      <c r="N176" s="57"/>
      <c r="Q176"/>
      <c r="R176"/>
      <c r="S176"/>
      <c r="T176"/>
      <c r="U176"/>
      <c r="V176"/>
      <c r="W176"/>
      <c r="X176"/>
    </row>
    <row r="177" spans="2:24" ht="21.95" customHeight="1" x14ac:dyDescent="0.25">
      <c r="B177" s="184"/>
      <c r="D177" s="64"/>
      <c r="E177" s="65"/>
      <c r="F177" s="68" t="s">
        <v>69</v>
      </c>
      <c r="G177" s="220">
        <v>2</v>
      </c>
      <c r="H177" s="221"/>
      <c r="I177" s="67" t="s">
        <v>0</v>
      </c>
      <c r="J177" s="220">
        <v>0</v>
      </c>
      <c r="K177" s="221"/>
      <c r="L177" s="66" t="s">
        <v>119</v>
      </c>
      <c r="M177" s="65"/>
      <c r="N177" s="57"/>
      <c r="Q177"/>
      <c r="R177"/>
      <c r="S177"/>
      <c r="T177"/>
      <c r="U177"/>
      <c r="V177"/>
      <c r="W177"/>
      <c r="X177"/>
    </row>
    <row r="178" spans="2:24" ht="20.100000000000001" customHeight="1" x14ac:dyDescent="0.25">
      <c r="B178" s="184"/>
      <c r="D178" s="64"/>
      <c r="E178" s="58"/>
      <c r="F178" s="59"/>
      <c r="G178" s="63"/>
      <c r="H178" s="60"/>
      <c r="I178" s="61" t="s">
        <v>380</v>
      </c>
      <c r="J178" s="61"/>
      <c r="K178" s="60"/>
      <c r="L178" s="59"/>
      <c r="M178" s="58"/>
      <c r="N178" s="57"/>
      <c r="Q178"/>
      <c r="R178"/>
      <c r="S178"/>
      <c r="T178"/>
      <c r="U178"/>
      <c r="V178"/>
      <c r="W178"/>
      <c r="X178"/>
    </row>
    <row r="179" spans="2:24" ht="5.0999999999999996" customHeight="1" x14ac:dyDescent="0.25">
      <c r="B179" s="184"/>
      <c r="D179" s="56"/>
      <c r="E179" s="54"/>
      <c r="F179" s="55"/>
      <c r="G179" s="54"/>
      <c r="H179" s="54"/>
      <c r="I179" s="54"/>
      <c r="J179" s="54"/>
      <c r="K179" s="54"/>
      <c r="L179" s="55"/>
      <c r="M179" s="54"/>
      <c r="N179" s="53"/>
      <c r="Q179"/>
      <c r="R179"/>
      <c r="S179"/>
      <c r="T179"/>
      <c r="U179"/>
      <c r="V179"/>
      <c r="W179"/>
      <c r="X179"/>
    </row>
    <row r="180" spans="2:24" ht="21.95" customHeight="1" x14ac:dyDescent="0.25">
      <c r="B180" s="184"/>
      <c r="D180" s="219" t="str">
        <f>TEXT(VLOOKUP(B182,tDatos[],IF(UTCElegido="",3,12),0),"dddd dd mmmm")</f>
        <v>viernes 19 Junio</v>
      </c>
      <c r="E180" s="219"/>
      <c r="F180" s="219"/>
      <c r="G180" s="219"/>
      <c r="H180" s="219"/>
      <c r="I180" s="219"/>
      <c r="J180" s="219"/>
      <c r="K180" s="219"/>
      <c r="L180" s="219"/>
      <c r="M180" s="219"/>
      <c r="N180" s="219"/>
      <c r="Q180"/>
      <c r="R180"/>
      <c r="S180"/>
      <c r="T180"/>
      <c r="U180"/>
      <c r="V180"/>
      <c r="W180"/>
      <c r="X180"/>
    </row>
    <row r="181" spans="2:24" ht="5.0999999999999996" customHeight="1" x14ac:dyDescent="0.25">
      <c r="B181" s="184"/>
      <c r="D181" s="74"/>
      <c r="E181" s="72"/>
      <c r="F181" s="73"/>
      <c r="G181" s="72"/>
      <c r="H181" s="72"/>
      <c r="I181" s="72"/>
      <c r="J181" s="72"/>
      <c r="K181" s="72"/>
      <c r="L181" s="73"/>
      <c r="M181" s="72"/>
      <c r="N181" s="71"/>
      <c r="Q181"/>
      <c r="R181"/>
      <c r="S181"/>
      <c r="T181"/>
      <c r="U181"/>
      <c r="V181"/>
      <c r="W181"/>
      <c r="X181"/>
    </row>
    <row r="182" spans="2:24" ht="21.95" customHeight="1" x14ac:dyDescent="0.25">
      <c r="B182" s="182">
        <v>30</v>
      </c>
      <c r="C182" s="129">
        <v>30</v>
      </c>
      <c r="D182" s="64"/>
      <c r="E182" s="222">
        <f>VLOOKUP(B182,tDatos[],IF(UTCElegido="",4,12),0)</f>
        <v>0.75</v>
      </c>
      <c r="F182" s="222"/>
      <c r="G182" s="222"/>
      <c r="H182" s="77"/>
      <c r="I182" s="77"/>
      <c r="J182" s="77"/>
      <c r="K182" s="76"/>
      <c r="L182" s="75"/>
      <c r="M182"/>
      <c r="N182" s="57"/>
      <c r="Q182"/>
      <c r="R182"/>
      <c r="S182"/>
      <c r="T182"/>
      <c r="U182"/>
      <c r="V182"/>
      <c r="W182"/>
      <c r="X182"/>
    </row>
    <row r="183" spans="2:24" ht="21.95" customHeight="1" x14ac:dyDescent="0.25">
      <c r="B183" s="184"/>
      <c r="D183" s="64"/>
      <c r="E183" s="65"/>
      <c r="F183" s="68" t="s">
        <v>138</v>
      </c>
      <c r="G183" s="220">
        <v>0</v>
      </c>
      <c r="H183" s="221"/>
      <c r="I183" s="67" t="s">
        <v>0</v>
      </c>
      <c r="J183" s="220">
        <v>1</v>
      </c>
      <c r="K183" s="221"/>
      <c r="L183" s="66" t="s">
        <v>165</v>
      </c>
      <c r="M183" s="65"/>
      <c r="N183" s="57"/>
      <c r="Q183"/>
      <c r="R183"/>
      <c r="S183"/>
      <c r="T183"/>
      <c r="U183"/>
      <c r="V183"/>
      <c r="W183"/>
      <c r="X183"/>
    </row>
    <row r="184" spans="2:24" ht="20.100000000000001" customHeight="1" x14ac:dyDescent="0.25">
      <c r="B184" s="184"/>
      <c r="D184" s="64"/>
      <c r="E184" s="58"/>
      <c r="F184" s="59"/>
      <c r="G184" s="63"/>
      <c r="H184" s="60"/>
      <c r="I184" s="61" t="s">
        <v>371</v>
      </c>
      <c r="J184" s="61"/>
      <c r="K184" s="60"/>
      <c r="L184" s="59"/>
      <c r="M184" s="58"/>
      <c r="N184" s="57"/>
      <c r="Q184"/>
      <c r="R184"/>
      <c r="S184"/>
      <c r="T184"/>
      <c r="U184"/>
      <c r="V184"/>
      <c r="W184"/>
      <c r="X184"/>
    </row>
    <row r="185" spans="2:24" ht="5.0999999999999996" customHeight="1" x14ac:dyDescent="0.25">
      <c r="B185" s="184"/>
      <c r="D185" s="56"/>
      <c r="E185" s="54"/>
      <c r="F185" s="55"/>
      <c r="G185" s="54"/>
      <c r="H185" s="54"/>
      <c r="I185" s="54"/>
      <c r="J185" s="54"/>
      <c r="K185" s="54"/>
      <c r="L185" s="55"/>
      <c r="M185" s="54"/>
      <c r="N185" s="53"/>
      <c r="Q185"/>
      <c r="R185"/>
      <c r="S185"/>
      <c r="T185"/>
      <c r="U185"/>
      <c r="V185"/>
      <c r="W185"/>
      <c r="X185"/>
    </row>
    <row r="186" spans="2:24" ht="21.95" customHeight="1" x14ac:dyDescent="0.25">
      <c r="B186" s="184"/>
      <c r="D186" s="219" t="str">
        <f>TEXT(VLOOKUP(B188,tDatos[],IF(UTCElegido="",3,12),0),"dddd dd mmmm")</f>
        <v>viernes 19 Junio</v>
      </c>
      <c r="E186" s="219"/>
      <c r="F186" s="219"/>
      <c r="G186" s="219"/>
      <c r="H186" s="219"/>
      <c r="I186" s="219"/>
      <c r="J186" s="219"/>
      <c r="K186" s="219"/>
      <c r="L186" s="219"/>
      <c r="M186" s="219"/>
      <c r="N186" s="219"/>
      <c r="Q186"/>
      <c r="R186"/>
      <c r="S186"/>
      <c r="T186"/>
      <c r="U186"/>
      <c r="V186"/>
      <c r="W186"/>
      <c r="X186"/>
    </row>
    <row r="187" spans="2:24" ht="5.0999999999999996" customHeight="1" x14ac:dyDescent="0.25">
      <c r="B187" s="184"/>
      <c r="D187" s="64"/>
      <c r="E187" s="81"/>
      <c r="F187" s="82"/>
      <c r="G187" s="81"/>
      <c r="H187" s="81"/>
      <c r="I187" s="81"/>
      <c r="J187" s="81"/>
      <c r="K187" s="81"/>
      <c r="L187" s="82"/>
      <c r="M187" s="81"/>
      <c r="N187" s="57"/>
      <c r="Q187"/>
      <c r="R187"/>
      <c r="S187"/>
      <c r="T187"/>
      <c r="U187"/>
      <c r="V187"/>
      <c r="W187"/>
      <c r="X187"/>
    </row>
    <row r="188" spans="2:24" ht="21.95" customHeight="1" x14ac:dyDescent="0.25">
      <c r="B188" s="182">
        <v>31</v>
      </c>
      <c r="C188" s="129">
        <v>29</v>
      </c>
      <c r="D188" s="64"/>
      <c r="E188" s="222">
        <f>VLOOKUP(B188,tDatos[],IF(UTCElegido="",4,12),0)</f>
        <v>0.85416666666666663</v>
      </c>
      <c r="F188" s="222"/>
      <c r="G188" s="222"/>
      <c r="H188" s="77"/>
      <c r="I188" s="77"/>
      <c r="J188" s="77"/>
      <c r="K188" s="76"/>
      <c r="L188" s="75"/>
      <c r="M188"/>
      <c r="N188" s="57"/>
      <c r="Q188"/>
      <c r="R188"/>
      <c r="S188"/>
      <c r="T188"/>
      <c r="U188"/>
      <c r="V188"/>
      <c r="W188"/>
      <c r="X188"/>
    </row>
    <row r="189" spans="2:24" ht="21.95" customHeight="1" x14ac:dyDescent="0.25">
      <c r="B189" s="184"/>
      <c r="D189" s="64"/>
      <c r="E189" s="65"/>
      <c r="F189" s="68" t="s">
        <v>164</v>
      </c>
      <c r="G189" s="220">
        <v>3</v>
      </c>
      <c r="H189" s="221"/>
      <c r="I189" s="67" t="s">
        <v>0</v>
      </c>
      <c r="J189" s="220">
        <v>0</v>
      </c>
      <c r="K189" s="221"/>
      <c r="L189" s="66" t="s">
        <v>134</v>
      </c>
      <c r="M189" s="65"/>
      <c r="N189" s="57"/>
      <c r="Q189"/>
      <c r="R189"/>
      <c r="S189"/>
      <c r="T189"/>
      <c r="U189"/>
      <c r="V189"/>
      <c r="W189"/>
      <c r="X189"/>
    </row>
    <row r="190" spans="2:24" ht="20.100000000000001" customHeight="1" x14ac:dyDescent="0.25">
      <c r="B190" s="184"/>
      <c r="D190" s="64"/>
      <c r="E190" s="58"/>
      <c r="F190" s="59"/>
      <c r="G190" s="63"/>
      <c r="H190" s="60"/>
      <c r="I190" s="61" t="s">
        <v>377</v>
      </c>
      <c r="J190" s="61"/>
      <c r="K190" s="60"/>
      <c r="L190" s="59"/>
      <c r="M190" s="58"/>
      <c r="N190" s="57"/>
      <c r="Q190"/>
      <c r="R190"/>
      <c r="S190"/>
      <c r="T190"/>
      <c r="U190"/>
      <c r="V190"/>
      <c r="W190"/>
      <c r="X190"/>
    </row>
    <row r="191" spans="2:24" ht="5.0999999999999996" customHeight="1" x14ac:dyDescent="0.25">
      <c r="B191" s="184"/>
      <c r="D191" s="56"/>
      <c r="E191" s="54"/>
      <c r="F191" s="55"/>
      <c r="G191" s="54"/>
      <c r="H191" s="54"/>
      <c r="I191" s="54"/>
      <c r="J191" s="54"/>
      <c r="K191" s="54"/>
      <c r="L191" s="55"/>
      <c r="M191" s="54"/>
      <c r="N191" s="53"/>
      <c r="Q191"/>
      <c r="R191"/>
      <c r="S191"/>
      <c r="T191"/>
      <c r="U191"/>
      <c r="V191"/>
      <c r="W191"/>
      <c r="X191"/>
    </row>
    <row r="192" spans="2:24" ht="21.95" customHeight="1" x14ac:dyDescent="0.25">
      <c r="B192" s="184"/>
      <c r="D192" s="219" t="str">
        <f>TEXT(VLOOKUP(B194,tDatos[],IF(UTCElegido="",3,12),0),"dddd dd mmmm")</f>
        <v>viernes 19 Junio</v>
      </c>
      <c r="E192" s="219"/>
      <c r="F192" s="219"/>
      <c r="G192" s="219"/>
      <c r="H192" s="219"/>
      <c r="I192" s="219"/>
      <c r="J192" s="219"/>
      <c r="K192" s="219"/>
      <c r="L192" s="219"/>
      <c r="M192" s="219"/>
      <c r="N192" s="219"/>
      <c r="Q192"/>
      <c r="R192"/>
      <c r="S192"/>
      <c r="T192"/>
      <c r="U192"/>
      <c r="V192"/>
      <c r="W192"/>
      <c r="X192"/>
    </row>
    <row r="193" spans="2:24" ht="5.0999999999999996" customHeight="1" x14ac:dyDescent="0.25">
      <c r="B193" s="184"/>
      <c r="D193" s="78"/>
      <c r="E193" s="72"/>
      <c r="F193" s="73"/>
      <c r="G193" s="72"/>
      <c r="H193" s="72"/>
      <c r="I193" s="72"/>
      <c r="J193" s="72"/>
      <c r="K193" s="72"/>
      <c r="L193" s="73"/>
      <c r="M193" s="72"/>
      <c r="N193" s="71"/>
      <c r="Q193"/>
      <c r="R193"/>
      <c r="S193"/>
      <c r="T193"/>
      <c r="U193"/>
      <c r="V193"/>
      <c r="W193"/>
      <c r="X193"/>
    </row>
    <row r="194" spans="2:24" ht="21.95" customHeight="1" x14ac:dyDescent="0.25">
      <c r="B194" s="182">
        <v>32</v>
      </c>
      <c r="C194" s="129">
        <v>31</v>
      </c>
      <c r="D194" s="64"/>
      <c r="E194" s="222">
        <f>VLOOKUP(B194,tDatos[],IF(UTCElegido="",4,12),0)</f>
        <v>0.95833333333333337</v>
      </c>
      <c r="F194" s="222"/>
      <c r="G194" s="222"/>
      <c r="H194" s="65"/>
      <c r="I194" s="65"/>
      <c r="J194" s="65"/>
      <c r="K194" s="70"/>
      <c r="L194" s="69"/>
      <c r="M194"/>
      <c r="N194" s="57"/>
      <c r="Q194"/>
      <c r="R194"/>
      <c r="S194"/>
      <c r="T194"/>
      <c r="U194"/>
      <c r="V194"/>
      <c r="W194"/>
      <c r="X194"/>
    </row>
    <row r="195" spans="2:24" ht="21.95" customHeight="1" x14ac:dyDescent="0.25">
      <c r="B195" s="184"/>
      <c r="D195" s="64"/>
      <c r="E195" s="65"/>
      <c r="F195" s="68" t="s">
        <v>281</v>
      </c>
      <c r="G195" s="220">
        <v>0</v>
      </c>
      <c r="H195" s="221"/>
      <c r="I195" s="67" t="s">
        <v>0</v>
      </c>
      <c r="J195" s="220">
        <v>1</v>
      </c>
      <c r="K195" s="221"/>
      <c r="L195" s="66" t="s">
        <v>162</v>
      </c>
      <c r="M195" s="65"/>
      <c r="N195" s="57"/>
      <c r="Q195"/>
      <c r="R195"/>
      <c r="S195"/>
      <c r="T195"/>
      <c r="U195"/>
      <c r="V195"/>
      <c r="W195"/>
      <c r="X195"/>
    </row>
    <row r="196" spans="2:24" ht="20.100000000000001" customHeight="1" x14ac:dyDescent="0.25">
      <c r="B196" s="184"/>
      <c r="D196" s="64"/>
      <c r="E196" s="58"/>
      <c r="F196" s="59"/>
      <c r="G196" s="63"/>
      <c r="H196" s="60"/>
      <c r="I196" s="62" t="s">
        <v>374</v>
      </c>
      <c r="J196" s="61"/>
      <c r="K196" s="60"/>
      <c r="L196" s="59"/>
      <c r="M196" s="58"/>
      <c r="N196" s="57"/>
      <c r="Q196"/>
      <c r="R196"/>
      <c r="S196"/>
      <c r="T196"/>
      <c r="U196"/>
      <c r="V196"/>
      <c r="W196"/>
      <c r="X196"/>
    </row>
    <row r="197" spans="2:24" ht="5.0999999999999996" customHeight="1" x14ac:dyDescent="0.25">
      <c r="B197" s="184"/>
      <c r="D197" s="56"/>
      <c r="E197" s="54"/>
      <c r="F197" s="55"/>
      <c r="G197" s="54"/>
      <c r="H197" s="54"/>
      <c r="I197" s="54"/>
      <c r="J197" s="54"/>
      <c r="K197" s="54"/>
      <c r="L197" s="55"/>
      <c r="M197" s="54"/>
      <c r="N197" s="53"/>
      <c r="Q197"/>
      <c r="R197"/>
      <c r="S197"/>
      <c r="T197"/>
      <c r="U197"/>
      <c r="V197"/>
      <c r="W197"/>
      <c r="X197"/>
    </row>
    <row r="198" spans="2:24" ht="21.95" customHeight="1" x14ac:dyDescent="0.25">
      <c r="B198" s="184"/>
      <c r="D198" s="219" t="str">
        <f>TEXT(VLOOKUP(B200,tDatos[],IF(UTCElegido="",3,12),0),"dddd dd mmmm")</f>
        <v>sábado 20 Junio</v>
      </c>
      <c r="E198" s="219"/>
      <c r="F198" s="219"/>
      <c r="G198" s="219"/>
      <c r="H198" s="219"/>
      <c r="I198" s="219"/>
      <c r="J198" s="219"/>
      <c r="K198" s="219"/>
      <c r="L198" s="219"/>
      <c r="M198" s="219"/>
      <c r="N198" s="219"/>
      <c r="Q198"/>
      <c r="R198"/>
      <c r="S198"/>
      <c r="T198"/>
      <c r="U198"/>
      <c r="V198"/>
      <c r="W198"/>
      <c r="X198"/>
    </row>
    <row r="199" spans="2:24" ht="5.0999999999999996" customHeight="1" x14ac:dyDescent="0.25">
      <c r="B199" s="184"/>
      <c r="D199" s="74"/>
      <c r="E199" s="72"/>
      <c r="F199" s="73"/>
      <c r="G199" s="72"/>
      <c r="H199" s="72"/>
      <c r="I199" s="72"/>
      <c r="J199" s="72"/>
      <c r="K199" s="72"/>
      <c r="L199" s="73"/>
      <c r="M199" s="72"/>
      <c r="N199" s="71"/>
      <c r="Q199"/>
      <c r="R199"/>
      <c r="S199"/>
      <c r="T199"/>
      <c r="U199"/>
      <c r="V199"/>
      <c r="W199"/>
      <c r="X199"/>
    </row>
    <row r="200" spans="2:24" ht="21.95" customHeight="1" x14ac:dyDescent="0.25">
      <c r="B200" s="182">
        <v>33</v>
      </c>
      <c r="C200" s="129">
        <v>35</v>
      </c>
      <c r="D200" s="64"/>
      <c r="E200" s="222">
        <f>VLOOKUP(B200,tDatos[],IF(UTCElegido="",4,12),0)</f>
        <v>0.54166666666666663</v>
      </c>
      <c r="F200" s="222"/>
      <c r="G200" s="222"/>
      <c r="H200" s="65"/>
      <c r="I200" s="65"/>
      <c r="J200" s="65"/>
      <c r="K200" s="70"/>
      <c r="L200" s="69"/>
      <c r="M200"/>
      <c r="N200" s="57"/>
      <c r="Q200"/>
      <c r="R200"/>
      <c r="S200"/>
      <c r="T200"/>
      <c r="U200"/>
      <c r="V200"/>
      <c r="W200"/>
      <c r="X200"/>
    </row>
    <row r="201" spans="2:24" ht="21.95" customHeight="1" x14ac:dyDescent="0.25">
      <c r="B201" s="184"/>
      <c r="D201" s="64"/>
      <c r="E201" s="65"/>
      <c r="F201" s="68" t="s">
        <v>161</v>
      </c>
      <c r="G201" s="220">
        <v>5</v>
      </c>
      <c r="H201" s="221"/>
      <c r="I201" s="67" t="s">
        <v>0</v>
      </c>
      <c r="J201" s="220">
        <v>1</v>
      </c>
      <c r="K201" s="221"/>
      <c r="L201" s="66" t="s">
        <v>282</v>
      </c>
      <c r="M201" s="65"/>
      <c r="N201" s="57"/>
      <c r="Q201"/>
      <c r="R201"/>
      <c r="S201"/>
      <c r="T201"/>
      <c r="U201"/>
      <c r="V201"/>
      <c r="W201"/>
      <c r="X201"/>
    </row>
    <row r="202" spans="2:24" ht="20.100000000000001" customHeight="1" x14ac:dyDescent="0.25">
      <c r="B202" s="184"/>
      <c r="D202" s="64"/>
      <c r="E202" s="58"/>
      <c r="F202" s="59"/>
      <c r="G202" s="63"/>
      <c r="H202" s="60"/>
      <c r="I202" s="62" t="s">
        <v>375</v>
      </c>
      <c r="J202" s="61"/>
      <c r="K202" s="60"/>
      <c r="L202" s="59"/>
      <c r="M202" s="58"/>
      <c r="N202" s="57"/>
      <c r="Q202"/>
      <c r="R202"/>
      <c r="S202"/>
      <c r="T202"/>
      <c r="U202"/>
      <c r="V202"/>
      <c r="W202"/>
      <c r="X202"/>
    </row>
    <row r="203" spans="2:24" ht="5.0999999999999996" customHeight="1" x14ac:dyDescent="0.25">
      <c r="B203" s="184"/>
      <c r="D203" s="56"/>
      <c r="E203" s="54"/>
      <c r="F203" s="55"/>
      <c r="G203" s="54"/>
      <c r="H203" s="54"/>
      <c r="I203" s="54"/>
      <c r="J203" s="54"/>
      <c r="K203" s="54"/>
      <c r="L203" s="55"/>
      <c r="M203" s="54"/>
      <c r="N203" s="53"/>
      <c r="Q203"/>
      <c r="R203"/>
      <c r="S203"/>
      <c r="T203"/>
      <c r="U203"/>
      <c r="V203"/>
      <c r="W203"/>
      <c r="X203"/>
    </row>
    <row r="204" spans="2:24" ht="21.95" customHeight="1" x14ac:dyDescent="0.25">
      <c r="B204" s="184"/>
      <c r="D204" s="219" t="str">
        <f>TEXT(VLOOKUP(B206,tDatos[],IF(UTCElegido="",3,12),0),"dddd dd mmmm")</f>
        <v>sábado 20 Junio</v>
      </c>
      <c r="E204" s="219"/>
      <c r="F204" s="219"/>
      <c r="G204" s="219"/>
      <c r="H204" s="219"/>
      <c r="I204" s="219"/>
      <c r="J204" s="219"/>
      <c r="K204" s="219"/>
      <c r="L204" s="219"/>
      <c r="M204" s="219"/>
      <c r="N204" s="219"/>
      <c r="Q204"/>
      <c r="R204"/>
      <c r="S204"/>
      <c r="T204"/>
      <c r="U204"/>
      <c r="V204"/>
      <c r="W204"/>
      <c r="X204"/>
    </row>
    <row r="205" spans="2:24" ht="5.0999999999999996" customHeight="1" x14ac:dyDescent="0.25">
      <c r="B205" s="184"/>
      <c r="D205" s="74"/>
      <c r="E205" s="72"/>
      <c r="F205" s="73"/>
      <c r="G205" s="72"/>
      <c r="H205" s="72"/>
      <c r="I205" s="72"/>
      <c r="J205" s="72"/>
      <c r="K205" s="72"/>
      <c r="L205" s="73"/>
      <c r="M205" s="72"/>
      <c r="N205" s="71"/>
      <c r="Q205"/>
      <c r="R205"/>
      <c r="S205"/>
      <c r="T205"/>
      <c r="U205"/>
      <c r="V205"/>
      <c r="W205"/>
      <c r="X205"/>
    </row>
    <row r="206" spans="2:24" ht="21.95" customHeight="1" x14ac:dyDescent="0.25">
      <c r="B206" s="182">
        <v>34</v>
      </c>
      <c r="C206" s="129">
        <v>33</v>
      </c>
      <c r="D206" s="64"/>
      <c r="E206" s="222">
        <f>VLOOKUP(B206,tDatos[],IF(UTCElegido="",4,12),0)</f>
        <v>0.66666666666666663</v>
      </c>
      <c r="F206" s="222"/>
      <c r="G206" s="222"/>
      <c r="H206" s="77"/>
      <c r="I206" s="77"/>
      <c r="J206" s="77"/>
      <c r="K206" s="76"/>
      <c r="L206" s="75"/>
      <c r="M206"/>
      <c r="N206" s="57"/>
      <c r="Q206"/>
      <c r="R206"/>
      <c r="S206"/>
      <c r="T206"/>
      <c r="U206"/>
      <c r="V206"/>
      <c r="W206"/>
      <c r="X206"/>
    </row>
    <row r="207" spans="2:24" ht="21.95" customHeight="1" x14ac:dyDescent="0.25">
      <c r="B207" s="184"/>
      <c r="D207" s="64"/>
      <c r="E207" s="65"/>
      <c r="F207" s="68" t="s">
        <v>160</v>
      </c>
      <c r="G207" s="220">
        <v>2</v>
      </c>
      <c r="H207" s="221"/>
      <c r="I207" s="67" t="s">
        <v>0</v>
      </c>
      <c r="J207" s="220">
        <v>1</v>
      </c>
      <c r="K207" s="221"/>
      <c r="L207" s="66" t="s">
        <v>195</v>
      </c>
      <c r="M207" s="65"/>
      <c r="N207" s="57"/>
      <c r="Q207"/>
      <c r="R207"/>
      <c r="S207"/>
      <c r="T207"/>
      <c r="U207"/>
      <c r="V207"/>
      <c r="W207"/>
      <c r="X207"/>
    </row>
    <row r="208" spans="2:24" ht="20.100000000000001" customHeight="1" x14ac:dyDescent="0.25">
      <c r="B208" s="184"/>
      <c r="D208" s="64"/>
      <c r="E208" s="58"/>
      <c r="F208" s="59"/>
      <c r="G208" s="63"/>
      <c r="H208" s="60"/>
      <c r="I208" s="61" t="s">
        <v>373</v>
      </c>
      <c r="J208" s="61"/>
      <c r="K208" s="60"/>
      <c r="L208" s="59"/>
      <c r="M208" s="58"/>
      <c r="N208" s="57"/>
      <c r="Q208"/>
      <c r="R208"/>
      <c r="S208"/>
      <c r="T208"/>
      <c r="U208"/>
      <c r="V208"/>
      <c r="W208"/>
      <c r="X208"/>
    </row>
    <row r="209" spans="2:24" ht="5.0999999999999996" customHeight="1" x14ac:dyDescent="0.25">
      <c r="B209" s="184"/>
      <c r="D209" s="56"/>
      <c r="E209" s="54"/>
      <c r="F209" s="55"/>
      <c r="G209" s="54"/>
      <c r="H209" s="54"/>
      <c r="I209" s="54"/>
      <c r="J209" s="54"/>
      <c r="K209" s="54"/>
      <c r="L209" s="55"/>
      <c r="M209" s="54"/>
      <c r="N209" s="53"/>
      <c r="Q209"/>
      <c r="R209"/>
      <c r="S209"/>
      <c r="T209"/>
      <c r="U209"/>
      <c r="V209"/>
      <c r="W209"/>
      <c r="X209"/>
    </row>
    <row r="210" spans="2:24" ht="21.95" customHeight="1" x14ac:dyDescent="0.25">
      <c r="B210" s="184"/>
      <c r="D210" s="219" t="str">
        <f>TEXT(VLOOKUP(B212,tDatos[],IF(UTCElegido="",3,12),0),"dddd dd mmmm")</f>
        <v>sábado 20 Junio</v>
      </c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Q210"/>
      <c r="R210"/>
      <c r="S210"/>
      <c r="T210"/>
      <c r="U210"/>
      <c r="V210"/>
      <c r="W210"/>
      <c r="X210"/>
    </row>
    <row r="211" spans="2:24" ht="5.0999999999999996" customHeight="1" x14ac:dyDescent="0.25">
      <c r="B211" s="184"/>
      <c r="D211" s="74"/>
      <c r="E211" s="72"/>
      <c r="F211" s="73"/>
      <c r="G211" s="72"/>
      <c r="H211" s="72"/>
      <c r="I211" s="72"/>
      <c r="J211" s="72"/>
      <c r="K211" s="72"/>
      <c r="L211" s="73"/>
      <c r="M211" s="72"/>
      <c r="N211" s="71"/>
      <c r="Q211"/>
      <c r="R211"/>
      <c r="S211"/>
      <c r="T211"/>
      <c r="U211"/>
      <c r="V211"/>
      <c r="W211"/>
      <c r="X211"/>
    </row>
    <row r="212" spans="2:24" ht="21.95" customHeight="1" x14ac:dyDescent="0.25">
      <c r="B212" s="182">
        <v>35</v>
      </c>
      <c r="C212" s="129">
        <v>34</v>
      </c>
      <c r="D212" s="64"/>
      <c r="E212" s="222">
        <f>VLOOKUP(B212,tDatos[],IF(UTCElegido="",4,12),0)</f>
        <v>0.83333333333333337</v>
      </c>
      <c r="F212" s="222"/>
      <c r="G212" s="222"/>
      <c r="H212" s="77"/>
      <c r="I212" s="77"/>
      <c r="J212" s="77"/>
      <c r="K212" s="76"/>
      <c r="L212" s="75"/>
      <c r="M212"/>
      <c r="N212" s="57"/>
      <c r="Q212"/>
      <c r="R212"/>
      <c r="S212"/>
      <c r="T212"/>
      <c r="U212"/>
      <c r="V212"/>
      <c r="W212"/>
      <c r="X212"/>
    </row>
    <row r="213" spans="2:24" ht="21.95" customHeight="1" x14ac:dyDescent="0.25">
      <c r="B213" s="184"/>
      <c r="D213" s="64"/>
      <c r="E213" s="65"/>
      <c r="F213" s="68" t="s">
        <v>127</v>
      </c>
      <c r="G213" s="220">
        <v>0</v>
      </c>
      <c r="H213" s="221"/>
      <c r="I213" s="67" t="s">
        <v>0</v>
      </c>
      <c r="J213" s="220">
        <v>0</v>
      </c>
      <c r="K213" s="221"/>
      <c r="L213" s="66" t="s">
        <v>159</v>
      </c>
      <c r="M213" s="65"/>
      <c r="N213" s="57"/>
      <c r="Q213"/>
      <c r="R213"/>
      <c r="S213"/>
      <c r="T213"/>
      <c r="U213"/>
      <c r="V213"/>
      <c r="W213"/>
      <c r="X213"/>
    </row>
    <row r="214" spans="2:24" ht="20.100000000000001" customHeight="1" x14ac:dyDescent="0.25">
      <c r="B214" s="184"/>
      <c r="D214" s="64"/>
      <c r="E214" s="58"/>
      <c r="F214" s="59"/>
      <c r="G214" s="63"/>
      <c r="H214" s="60"/>
      <c r="I214" s="61" t="s">
        <v>382</v>
      </c>
      <c r="J214" s="61"/>
      <c r="K214" s="60"/>
      <c r="L214" s="59"/>
      <c r="M214" s="58"/>
      <c r="N214" s="57"/>
      <c r="Q214"/>
      <c r="R214"/>
      <c r="S214"/>
      <c r="T214"/>
      <c r="U214"/>
      <c r="V214"/>
      <c r="W214"/>
      <c r="X214"/>
    </row>
    <row r="215" spans="2:24" ht="5.0999999999999996" customHeight="1" x14ac:dyDescent="0.25">
      <c r="B215" s="184"/>
      <c r="D215" s="56"/>
      <c r="E215" s="54"/>
      <c r="F215" s="55"/>
      <c r="G215" s="54"/>
      <c r="H215" s="54"/>
      <c r="I215" s="54"/>
      <c r="J215" s="54"/>
      <c r="K215" s="54"/>
      <c r="L215" s="55"/>
      <c r="M215" s="54"/>
      <c r="N215" s="53"/>
      <c r="Q215"/>
      <c r="R215"/>
      <c r="S215"/>
      <c r="T215"/>
      <c r="U215"/>
      <c r="V215"/>
      <c r="W215"/>
      <c r="X215"/>
    </row>
    <row r="216" spans="2:24" ht="21.95" customHeight="1" x14ac:dyDescent="0.25">
      <c r="B216" s="184"/>
      <c r="D216" s="219" t="str">
        <f>TEXT(VLOOKUP(B218,tDatos[],IF(UTCElegido="",3,12),0),"dddd dd mmmm")</f>
        <v>domingo 21 Junio</v>
      </c>
      <c r="E216" s="219"/>
      <c r="F216" s="219"/>
      <c r="G216" s="219"/>
      <c r="H216" s="219"/>
      <c r="I216" s="219"/>
      <c r="J216" s="219"/>
      <c r="K216" s="219"/>
      <c r="L216" s="219"/>
      <c r="M216" s="219"/>
      <c r="N216" s="219"/>
      <c r="Q216"/>
      <c r="R216"/>
      <c r="S216"/>
      <c r="T216"/>
      <c r="U216"/>
      <c r="V216"/>
      <c r="W216"/>
      <c r="X216"/>
    </row>
    <row r="217" spans="2:24" ht="5.0999999999999996" customHeight="1" x14ac:dyDescent="0.25">
      <c r="B217" s="184"/>
      <c r="D217" s="78"/>
      <c r="E217" s="72"/>
      <c r="F217" s="73"/>
      <c r="G217" s="72"/>
      <c r="H217" s="72"/>
      <c r="I217" s="72"/>
      <c r="J217" s="72"/>
      <c r="K217" s="72"/>
      <c r="L217" s="73"/>
      <c r="M217" s="72"/>
      <c r="N217" s="71"/>
      <c r="Q217"/>
      <c r="R217"/>
      <c r="S217"/>
      <c r="T217"/>
      <c r="U217"/>
      <c r="V217"/>
      <c r="W217"/>
      <c r="X217"/>
    </row>
    <row r="218" spans="2:24" ht="21.95" customHeight="1" x14ac:dyDescent="0.25">
      <c r="B218" s="182">
        <v>36</v>
      </c>
      <c r="C218" s="129">
        <v>36</v>
      </c>
      <c r="D218" s="64"/>
      <c r="E218" s="222">
        <f>VLOOKUP(B218,tDatos[],IF(UTCElegido="",4,12),0)</f>
        <v>0</v>
      </c>
      <c r="F218" s="222"/>
      <c r="G218" s="222"/>
      <c r="H218" s="77"/>
      <c r="I218" s="77"/>
      <c r="J218" s="77"/>
      <c r="K218" s="76"/>
      <c r="L218" s="75"/>
      <c r="M218"/>
      <c r="N218" s="57"/>
      <c r="Q218"/>
      <c r="R218"/>
      <c r="S218"/>
      <c r="T218"/>
      <c r="U218"/>
      <c r="V218"/>
      <c r="W218"/>
      <c r="X218"/>
    </row>
    <row r="219" spans="2:24" ht="21.95" customHeight="1" x14ac:dyDescent="0.25">
      <c r="B219" s="184"/>
      <c r="D219" s="64"/>
      <c r="E219" s="65"/>
      <c r="F219" s="68" t="s">
        <v>123</v>
      </c>
      <c r="G219" s="220">
        <v>0</v>
      </c>
      <c r="H219" s="221"/>
      <c r="I219" s="67" t="s">
        <v>0</v>
      </c>
      <c r="J219" s="220">
        <v>4</v>
      </c>
      <c r="K219" s="221"/>
      <c r="L219" s="66" t="s">
        <v>157</v>
      </c>
      <c r="M219" s="65"/>
      <c r="N219" s="57"/>
      <c r="Q219"/>
      <c r="R219"/>
      <c r="S219"/>
      <c r="T219"/>
      <c r="U219"/>
      <c r="V219"/>
      <c r="W219"/>
      <c r="X219"/>
    </row>
    <row r="220" spans="2:24" ht="20.100000000000001" customHeight="1" x14ac:dyDescent="0.25">
      <c r="B220" s="184"/>
      <c r="D220" s="64"/>
      <c r="E220" s="58"/>
      <c r="F220" s="59"/>
      <c r="G220" s="63"/>
      <c r="H220" s="60"/>
      <c r="I220" s="61" t="s">
        <v>378</v>
      </c>
      <c r="J220" s="61"/>
      <c r="K220" s="60"/>
      <c r="L220" s="59"/>
      <c r="M220" s="58"/>
      <c r="N220" s="57"/>
      <c r="Q220"/>
      <c r="R220"/>
      <c r="S220"/>
      <c r="T220"/>
      <c r="U220"/>
      <c r="V220"/>
      <c r="W220"/>
      <c r="X220"/>
    </row>
    <row r="221" spans="2:24" ht="5.0999999999999996" customHeight="1" x14ac:dyDescent="0.25">
      <c r="B221" s="184"/>
      <c r="D221" s="56"/>
      <c r="E221" s="54"/>
      <c r="F221" s="55"/>
      <c r="G221" s="54"/>
      <c r="H221" s="54"/>
      <c r="I221" s="54"/>
      <c r="J221" s="54"/>
      <c r="K221" s="54"/>
      <c r="L221" s="55"/>
      <c r="M221" s="54"/>
      <c r="N221" s="53"/>
      <c r="Q221"/>
      <c r="R221"/>
      <c r="S221"/>
      <c r="T221"/>
      <c r="U221"/>
      <c r="V221"/>
      <c r="W221"/>
      <c r="X221"/>
    </row>
    <row r="222" spans="2:24" ht="21.95" customHeight="1" x14ac:dyDescent="0.25">
      <c r="B222" s="184"/>
      <c r="D222" s="219" t="str">
        <f>TEXT(VLOOKUP(B224,tDatos[],IF(UTCElegido="",3,12),0),"dddd dd mmmm")</f>
        <v>domingo 21 Junio</v>
      </c>
      <c r="E222" s="219"/>
      <c r="F222" s="219"/>
      <c r="G222" s="219"/>
      <c r="H222" s="219"/>
      <c r="I222" s="219"/>
      <c r="J222" s="219"/>
      <c r="K222" s="219"/>
      <c r="L222" s="219"/>
      <c r="M222" s="219"/>
      <c r="N222" s="219"/>
      <c r="Q222"/>
      <c r="R222"/>
      <c r="S222"/>
      <c r="T222"/>
      <c r="U222"/>
      <c r="V222"/>
      <c r="W222"/>
      <c r="X222"/>
    </row>
    <row r="223" spans="2:24" ht="5.0999999999999996" customHeight="1" x14ac:dyDescent="0.25">
      <c r="B223" s="184"/>
      <c r="D223" s="74"/>
      <c r="E223" s="72"/>
      <c r="F223" s="73"/>
      <c r="G223" s="72"/>
      <c r="H223" s="72"/>
      <c r="I223" s="72"/>
      <c r="J223" s="72"/>
      <c r="K223" s="72"/>
      <c r="L223" s="73"/>
      <c r="M223" s="72"/>
      <c r="N223" s="71"/>
      <c r="Q223"/>
      <c r="R223"/>
      <c r="S223"/>
      <c r="T223"/>
      <c r="U223"/>
      <c r="V223"/>
      <c r="W223"/>
      <c r="X223"/>
    </row>
    <row r="224" spans="2:24" ht="21.95" customHeight="1" x14ac:dyDescent="0.25">
      <c r="B224" s="182">
        <v>37</v>
      </c>
      <c r="C224" s="129">
        <v>38</v>
      </c>
      <c r="D224" s="64"/>
      <c r="E224" s="222">
        <f>VLOOKUP(B224,tDatos[],IF(UTCElegido="",4,12),0)</f>
        <v>0.5</v>
      </c>
      <c r="F224" s="222"/>
      <c r="G224" s="222"/>
      <c r="H224" s="77"/>
      <c r="I224" s="77"/>
      <c r="J224" s="77"/>
      <c r="K224" s="76"/>
      <c r="L224" s="75"/>
      <c r="M224"/>
      <c r="N224" s="57"/>
      <c r="Q224"/>
      <c r="R224"/>
      <c r="S224"/>
      <c r="T224"/>
      <c r="U224"/>
      <c r="V224"/>
      <c r="W224"/>
      <c r="X224"/>
    </row>
    <row r="225" spans="2:24" ht="21.95" customHeight="1" x14ac:dyDescent="0.25">
      <c r="B225" s="184"/>
      <c r="D225" s="64"/>
      <c r="E225" s="65"/>
      <c r="F225" s="68" t="s">
        <v>156</v>
      </c>
      <c r="G225" s="220">
        <v>4</v>
      </c>
      <c r="H225" s="221"/>
      <c r="I225" s="67" t="s">
        <v>0</v>
      </c>
      <c r="J225" s="220">
        <v>0</v>
      </c>
      <c r="K225" s="221"/>
      <c r="L225" s="66" t="s">
        <v>364</v>
      </c>
      <c r="M225" s="65"/>
      <c r="N225" s="57"/>
      <c r="Q225"/>
      <c r="R225"/>
      <c r="S225"/>
      <c r="T225"/>
      <c r="U225"/>
      <c r="V225"/>
      <c r="W225"/>
      <c r="X225"/>
    </row>
    <row r="226" spans="2:24" ht="20.100000000000001" customHeight="1" x14ac:dyDescent="0.25">
      <c r="B226" s="184"/>
      <c r="D226" s="64"/>
      <c r="E226" s="58"/>
      <c r="F226" s="59"/>
      <c r="G226" s="63"/>
      <c r="H226" s="60"/>
      <c r="I226" s="61" t="s">
        <v>379</v>
      </c>
      <c r="J226" s="61"/>
      <c r="K226" s="60"/>
      <c r="L226" s="59"/>
      <c r="M226" s="58"/>
      <c r="N226" s="57"/>
      <c r="Q226"/>
      <c r="R226"/>
      <c r="S226"/>
      <c r="T226"/>
      <c r="U226"/>
      <c r="V226"/>
      <c r="W226"/>
      <c r="X226"/>
    </row>
    <row r="227" spans="2:24" ht="5.0999999999999996" customHeight="1" x14ac:dyDescent="0.25">
      <c r="B227" s="184"/>
      <c r="D227" s="56"/>
      <c r="E227" s="54"/>
      <c r="F227" s="55"/>
      <c r="G227" s="54"/>
      <c r="H227" s="54"/>
      <c r="I227" s="54"/>
      <c r="J227" s="54"/>
      <c r="K227" s="54"/>
      <c r="L227" s="55"/>
      <c r="M227" s="54"/>
      <c r="N227" s="53"/>
      <c r="Q227"/>
      <c r="R227"/>
      <c r="S227"/>
      <c r="T227"/>
      <c r="U227"/>
      <c r="V227"/>
      <c r="W227"/>
      <c r="X227"/>
    </row>
    <row r="228" spans="2:24" ht="21.95" customHeight="1" x14ac:dyDescent="0.25">
      <c r="B228" s="184"/>
      <c r="D228" s="219" t="str">
        <f>TEXT(VLOOKUP(B230,tDatos[],IF(UTCElegido="",3,12),0),"dddd dd mmmm")</f>
        <v>domingo 21 Junio</v>
      </c>
      <c r="E228" s="219"/>
      <c r="F228" s="219"/>
      <c r="G228" s="219"/>
      <c r="H228" s="219"/>
      <c r="I228" s="219"/>
      <c r="J228" s="219"/>
      <c r="K228" s="219"/>
      <c r="L228" s="219"/>
      <c r="M228" s="219"/>
      <c r="N228" s="219"/>
      <c r="Q228"/>
      <c r="R228"/>
      <c r="S228"/>
      <c r="T228"/>
      <c r="U228"/>
      <c r="V228"/>
      <c r="W228"/>
      <c r="X228"/>
    </row>
    <row r="229" spans="2:24" ht="5.0999999999999996" customHeight="1" x14ac:dyDescent="0.25">
      <c r="B229" s="184"/>
      <c r="D229" s="74"/>
      <c r="E229" s="72"/>
      <c r="F229" s="73"/>
      <c r="G229" s="72"/>
      <c r="H229" s="72"/>
      <c r="I229" s="72"/>
      <c r="J229" s="72"/>
      <c r="K229" s="72"/>
      <c r="L229" s="73"/>
      <c r="M229" s="72"/>
      <c r="N229" s="71"/>
      <c r="Q229"/>
      <c r="R229"/>
      <c r="S229"/>
      <c r="T229"/>
      <c r="U229"/>
      <c r="V229"/>
      <c r="W229"/>
      <c r="X229"/>
    </row>
    <row r="230" spans="2:24" ht="21.95" customHeight="1" x14ac:dyDescent="0.25">
      <c r="B230" s="182">
        <v>38</v>
      </c>
      <c r="C230" s="129">
        <v>39</v>
      </c>
      <c r="D230" s="64"/>
      <c r="E230" s="222">
        <f>VLOOKUP(B230,tDatos[],IF(UTCElegido="",4,12),0)</f>
        <v>0.625</v>
      </c>
      <c r="F230" s="222"/>
      <c r="G230" s="222"/>
      <c r="H230" s="77"/>
      <c r="I230" s="77"/>
      <c r="J230" s="77"/>
      <c r="K230" s="76"/>
      <c r="L230" s="75"/>
      <c r="M230"/>
      <c r="N230" s="57"/>
      <c r="Q230"/>
      <c r="R230"/>
      <c r="S230"/>
      <c r="T230"/>
      <c r="U230"/>
      <c r="V230"/>
      <c r="W230"/>
      <c r="X230"/>
    </row>
    <row r="231" spans="2:24" ht="21.95" customHeight="1" x14ac:dyDescent="0.25">
      <c r="B231" s="184"/>
      <c r="D231" s="64"/>
      <c r="E231" s="65"/>
      <c r="F231" s="68" t="s">
        <v>155</v>
      </c>
      <c r="G231" s="220">
        <v>0</v>
      </c>
      <c r="H231" s="221"/>
      <c r="I231" s="67" t="s">
        <v>0</v>
      </c>
      <c r="J231" s="220">
        <v>0</v>
      </c>
      <c r="K231" s="221"/>
      <c r="L231" s="66" t="s">
        <v>107</v>
      </c>
      <c r="M231" s="65"/>
      <c r="N231" s="57"/>
      <c r="Q231"/>
      <c r="R231"/>
      <c r="S231"/>
      <c r="T231"/>
      <c r="U231"/>
      <c r="V231"/>
      <c r="W231"/>
      <c r="X231"/>
    </row>
    <row r="232" spans="2:24" ht="20.100000000000001" customHeight="1" x14ac:dyDescent="0.25">
      <c r="B232" s="184"/>
      <c r="D232" s="64"/>
      <c r="E232" s="58"/>
      <c r="F232" s="59"/>
      <c r="G232" s="63"/>
      <c r="H232" s="60"/>
      <c r="I232" s="61" t="s">
        <v>369</v>
      </c>
      <c r="J232" s="61"/>
      <c r="K232" s="60"/>
      <c r="L232" s="59"/>
      <c r="M232" s="58"/>
      <c r="N232" s="57"/>
      <c r="Q232"/>
      <c r="R232"/>
      <c r="S232"/>
      <c r="T232"/>
      <c r="U232"/>
      <c r="V232"/>
      <c r="W232"/>
      <c r="X232"/>
    </row>
    <row r="233" spans="2:24" ht="5.0999999999999996" customHeight="1" x14ac:dyDescent="0.25">
      <c r="B233" s="184"/>
      <c r="D233" s="56"/>
      <c r="E233" s="54"/>
      <c r="F233" s="55"/>
      <c r="G233" s="54"/>
      <c r="H233" s="54"/>
      <c r="I233" s="54"/>
      <c r="J233" s="54"/>
      <c r="K233" s="54"/>
      <c r="L233" s="55"/>
      <c r="M233" s="54"/>
      <c r="N233" s="53"/>
      <c r="Q233"/>
      <c r="R233"/>
      <c r="S233"/>
      <c r="T233"/>
      <c r="U233"/>
      <c r="V233"/>
      <c r="W233"/>
      <c r="X233"/>
    </row>
    <row r="234" spans="2:24" ht="21.95" customHeight="1" x14ac:dyDescent="0.25">
      <c r="B234" s="184"/>
      <c r="D234" s="219" t="str">
        <f>TEXT(VLOOKUP(B236,tDatos[],IF(UTCElegido="",3,12),0),"dddd dd mmmm")</f>
        <v>domingo 21 Junio</v>
      </c>
      <c r="E234" s="219"/>
      <c r="F234" s="219"/>
      <c r="G234" s="219"/>
      <c r="H234" s="219"/>
      <c r="I234" s="219"/>
      <c r="J234" s="219"/>
      <c r="K234" s="219"/>
      <c r="L234" s="219"/>
      <c r="M234" s="219"/>
      <c r="N234" s="219"/>
      <c r="Q234"/>
      <c r="R234"/>
      <c r="S234"/>
      <c r="T234"/>
      <c r="U234"/>
      <c r="V234"/>
      <c r="W234"/>
      <c r="X234"/>
    </row>
    <row r="235" spans="2:24" ht="5.0999999999999996" customHeight="1" x14ac:dyDescent="0.25">
      <c r="B235" s="184"/>
      <c r="D235" s="74"/>
      <c r="E235" s="72"/>
      <c r="F235" s="73"/>
      <c r="G235" s="72"/>
      <c r="H235" s="72"/>
      <c r="I235" s="72"/>
      <c r="J235" s="72"/>
      <c r="K235" s="72"/>
      <c r="L235" s="73"/>
      <c r="M235" s="72"/>
      <c r="N235" s="71"/>
      <c r="Q235"/>
      <c r="R235"/>
      <c r="S235"/>
      <c r="T235"/>
      <c r="U235"/>
      <c r="V235"/>
      <c r="W235"/>
      <c r="X235"/>
    </row>
    <row r="236" spans="2:24" ht="21.95" customHeight="1" x14ac:dyDescent="0.25">
      <c r="B236" s="182">
        <v>39</v>
      </c>
      <c r="C236" s="129">
        <v>37</v>
      </c>
      <c r="D236" s="64"/>
      <c r="E236" s="222">
        <f>VLOOKUP(B236,tDatos[],IF(UTCElegido="",4,12),0)</f>
        <v>0.75</v>
      </c>
      <c r="F236" s="222"/>
      <c r="G236" s="222"/>
      <c r="H236" s="77"/>
      <c r="I236" s="77"/>
      <c r="J236" s="77"/>
      <c r="K236" s="76"/>
      <c r="L236" s="75"/>
      <c r="M236"/>
      <c r="N236" s="57"/>
      <c r="Q236"/>
      <c r="R236"/>
      <c r="S236"/>
      <c r="T236"/>
      <c r="U236"/>
      <c r="V236"/>
      <c r="W236"/>
      <c r="X236"/>
    </row>
    <row r="237" spans="2:24" ht="21.95" customHeight="1" x14ac:dyDescent="0.25">
      <c r="B237" s="184"/>
      <c r="D237" s="64"/>
      <c r="E237" s="65"/>
      <c r="F237" s="68" t="s">
        <v>111</v>
      </c>
      <c r="G237" s="220">
        <v>2</v>
      </c>
      <c r="H237" s="221"/>
      <c r="I237" s="67" t="s">
        <v>0</v>
      </c>
      <c r="J237" s="220">
        <v>2</v>
      </c>
      <c r="K237" s="221"/>
      <c r="L237" s="66" t="s">
        <v>154</v>
      </c>
      <c r="M237" s="65"/>
      <c r="N237" s="57"/>
      <c r="Q237"/>
      <c r="R237"/>
      <c r="S237"/>
      <c r="T237"/>
      <c r="U237"/>
      <c r="V237"/>
      <c r="W237"/>
      <c r="X237"/>
    </row>
    <row r="238" spans="2:24" ht="20.100000000000001" customHeight="1" x14ac:dyDescent="0.25">
      <c r="B238" s="184"/>
      <c r="D238" s="64"/>
      <c r="E238" s="58"/>
      <c r="F238" s="59"/>
      <c r="G238" s="63"/>
      <c r="H238" s="60"/>
      <c r="I238" s="61" t="s">
        <v>381</v>
      </c>
      <c r="J238" s="61"/>
      <c r="K238" s="60"/>
      <c r="L238" s="59"/>
      <c r="M238" s="58"/>
      <c r="N238" s="57"/>
      <c r="Q238"/>
      <c r="R238"/>
      <c r="S238"/>
      <c r="T238"/>
      <c r="U238"/>
      <c r="V238"/>
      <c r="W238"/>
      <c r="X238"/>
    </row>
    <row r="239" spans="2:24" ht="5.0999999999999996" customHeight="1" x14ac:dyDescent="0.25">
      <c r="B239" s="184"/>
      <c r="D239" s="56"/>
      <c r="E239" s="54"/>
      <c r="F239" s="55"/>
      <c r="G239" s="54"/>
      <c r="H239" s="54"/>
      <c r="I239" s="54"/>
      <c r="J239" s="54"/>
      <c r="K239" s="54"/>
      <c r="L239" s="55"/>
      <c r="M239" s="54"/>
      <c r="N239" s="53"/>
      <c r="Q239"/>
      <c r="R239"/>
      <c r="S239"/>
      <c r="T239"/>
      <c r="U239"/>
      <c r="V239"/>
      <c r="W239"/>
      <c r="X239"/>
    </row>
    <row r="240" spans="2:24" ht="21.95" customHeight="1" x14ac:dyDescent="0.25">
      <c r="B240" s="184"/>
      <c r="D240" s="219" t="str">
        <f>TEXT(VLOOKUP(B242,tDatos[],IF(UTCElegido="",3,12),0),"dddd dd mmmm")</f>
        <v>domingo 21 Junio</v>
      </c>
      <c r="E240" s="219"/>
      <c r="F240" s="219"/>
      <c r="G240" s="219"/>
      <c r="H240" s="219"/>
      <c r="I240" s="219"/>
      <c r="J240" s="219"/>
      <c r="K240" s="219"/>
      <c r="L240" s="219"/>
      <c r="M240" s="219"/>
      <c r="N240" s="219"/>
      <c r="Q240"/>
      <c r="R240"/>
      <c r="S240"/>
      <c r="T240"/>
      <c r="U240"/>
      <c r="V240"/>
      <c r="W240"/>
      <c r="X240"/>
    </row>
    <row r="241" spans="2:24" ht="5.0999999999999996" customHeight="1" x14ac:dyDescent="0.25">
      <c r="B241" s="184"/>
      <c r="D241" s="74"/>
      <c r="E241" s="72"/>
      <c r="F241" s="73"/>
      <c r="G241" s="72"/>
      <c r="H241" s="72"/>
      <c r="I241" s="72"/>
      <c r="J241" s="72"/>
      <c r="K241" s="72"/>
      <c r="L241" s="73"/>
      <c r="M241" s="72"/>
      <c r="N241" s="71"/>
      <c r="Q241"/>
      <c r="R241"/>
      <c r="S241"/>
      <c r="T241"/>
      <c r="U241"/>
      <c r="V241"/>
      <c r="W241"/>
      <c r="X241"/>
    </row>
    <row r="242" spans="2:24" ht="21.95" customHeight="1" x14ac:dyDescent="0.25">
      <c r="B242" s="182">
        <v>40</v>
      </c>
      <c r="C242" s="129">
        <v>40</v>
      </c>
      <c r="D242" s="64"/>
      <c r="E242" s="222">
        <f>VLOOKUP(B242,tDatos[],IF(UTCElegido="",4,12),0)</f>
        <v>0.875</v>
      </c>
      <c r="F242" s="222"/>
      <c r="G242" s="222"/>
      <c r="H242" s="77"/>
      <c r="I242" s="77"/>
      <c r="J242" s="77"/>
      <c r="K242" s="76"/>
      <c r="L242" s="75"/>
      <c r="M242"/>
      <c r="N242" s="57"/>
      <c r="Q242"/>
      <c r="R242"/>
      <c r="S242"/>
      <c r="T242"/>
      <c r="U242"/>
      <c r="V242"/>
      <c r="W242"/>
      <c r="X242"/>
    </row>
    <row r="243" spans="2:24" ht="21.95" customHeight="1" x14ac:dyDescent="0.25">
      <c r="B243" s="184"/>
      <c r="D243" s="64"/>
      <c r="E243" s="65"/>
      <c r="F243" s="68" t="s">
        <v>105</v>
      </c>
      <c r="G243" s="220">
        <v>1</v>
      </c>
      <c r="H243" s="221"/>
      <c r="I243" s="67" t="s">
        <v>0</v>
      </c>
      <c r="J243" s="220">
        <v>3</v>
      </c>
      <c r="K243" s="221"/>
      <c r="L243" s="66" t="s">
        <v>153</v>
      </c>
      <c r="M243" s="65"/>
      <c r="N243" s="57"/>
      <c r="Q243"/>
      <c r="R243"/>
      <c r="S243"/>
      <c r="T243"/>
      <c r="U243"/>
      <c r="V243"/>
      <c r="W243"/>
      <c r="X243"/>
    </row>
    <row r="244" spans="2:24" ht="20.100000000000001" customHeight="1" x14ac:dyDescent="0.25">
      <c r="B244" s="184"/>
      <c r="D244" s="64"/>
      <c r="E244" s="58"/>
      <c r="F244" s="59"/>
      <c r="G244" s="63"/>
      <c r="H244" s="60"/>
      <c r="I244" s="61" t="s">
        <v>372</v>
      </c>
      <c r="J244" s="61"/>
      <c r="K244" s="60"/>
      <c r="L244" s="59"/>
      <c r="M244" s="58"/>
      <c r="N244" s="57"/>
      <c r="Q244"/>
      <c r="R244"/>
      <c r="S244"/>
      <c r="T244"/>
      <c r="U244"/>
      <c r="V244"/>
      <c r="W244"/>
      <c r="X244"/>
    </row>
    <row r="245" spans="2:24" ht="5.0999999999999996" customHeight="1" x14ac:dyDescent="0.25">
      <c r="B245" s="184"/>
      <c r="D245" s="56"/>
      <c r="E245" s="54"/>
      <c r="F245" s="55"/>
      <c r="G245" s="54"/>
      <c r="H245" s="54"/>
      <c r="I245" s="54"/>
      <c r="J245" s="54"/>
      <c r="K245" s="54"/>
      <c r="L245" s="55"/>
      <c r="M245" s="54"/>
      <c r="N245" s="53"/>
      <c r="Q245"/>
      <c r="R245"/>
      <c r="S245"/>
      <c r="T245"/>
      <c r="U245"/>
      <c r="V245"/>
      <c r="W245"/>
      <c r="X245"/>
    </row>
    <row r="246" spans="2:24" ht="21.95" customHeight="1" x14ac:dyDescent="0.25">
      <c r="B246" s="184"/>
      <c r="D246" s="219" t="str">
        <f>TEXT(VLOOKUP(B248,tDatos[],IF(UTCElegido="",3,12),0),"dddd dd mmmm")</f>
        <v>lunes 22 Junio</v>
      </c>
      <c r="E246" s="219"/>
      <c r="F246" s="219"/>
      <c r="G246" s="219"/>
      <c r="H246" s="219"/>
      <c r="I246" s="219"/>
      <c r="J246" s="219"/>
      <c r="K246" s="219"/>
      <c r="L246" s="219"/>
      <c r="M246" s="219"/>
      <c r="N246" s="219"/>
      <c r="Q246"/>
      <c r="R246"/>
      <c r="S246"/>
      <c r="T246"/>
      <c r="U246"/>
      <c r="V246"/>
      <c r="W246"/>
      <c r="X246"/>
    </row>
    <row r="247" spans="2:24" ht="5.0999999999999996" customHeight="1" x14ac:dyDescent="0.25">
      <c r="B247" s="184"/>
      <c r="D247" s="78"/>
      <c r="E247" s="72"/>
      <c r="F247" s="73"/>
      <c r="G247" s="72"/>
      <c r="H247" s="72"/>
      <c r="I247" s="72"/>
      <c r="J247" s="72"/>
      <c r="K247" s="72"/>
      <c r="L247" s="73"/>
      <c r="M247" s="72"/>
      <c r="N247" s="71"/>
      <c r="Q247"/>
      <c r="R247"/>
      <c r="S247"/>
      <c r="T247"/>
      <c r="U247"/>
      <c r="V247"/>
      <c r="W247"/>
      <c r="X247"/>
    </row>
    <row r="248" spans="2:24" ht="21.95" customHeight="1" x14ac:dyDescent="0.25">
      <c r="B248" s="182">
        <v>41</v>
      </c>
      <c r="C248" s="129">
        <v>43</v>
      </c>
      <c r="D248" s="64"/>
      <c r="E248" s="222">
        <f>VLOOKUP(B248,tDatos[],IF(UTCElegido="",4,12),0)</f>
        <v>0.54166666666666663</v>
      </c>
      <c r="F248" s="222"/>
      <c r="G248" s="222"/>
      <c r="H248" s="77"/>
      <c r="I248" s="77"/>
      <c r="J248" s="77"/>
      <c r="K248" s="76"/>
      <c r="L248" s="75"/>
      <c r="M248"/>
      <c r="N248" s="57"/>
      <c r="Q248"/>
      <c r="R248"/>
      <c r="S248"/>
      <c r="T248"/>
      <c r="U248"/>
      <c r="V248"/>
      <c r="W248"/>
      <c r="X248"/>
    </row>
    <row r="249" spans="2:24" ht="21.95" customHeight="1" x14ac:dyDescent="0.25">
      <c r="B249" s="184"/>
      <c r="D249" s="64"/>
      <c r="E249" s="65"/>
      <c r="F249" s="68" t="s">
        <v>151</v>
      </c>
      <c r="G249" s="220">
        <v>2</v>
      </c>
      <c r="H249" s="221"/>
      <c r="I249" s="67" t="s">
        <v>0</v>
      </c>
      <c r="J249" s="220">
        <v>0</v>
      </c>
      <c r="K249" s="221"/>
      <c r="L249" s="66" t="s">
        <v>93</v>
      </c>
      <c r="M249" s="65"/>
      <c r="N249" s="57"/>
      <c r="Q249"/>
      <c r="R249"/>
      <c r="S249"/>
      <c r="T249"/>
      <c r="U249"/>
      <c r="V249"/>
      <c r="W249"/>
      <c r="X249"/>
    </row>
    <row r="250" spans="2:24" ht="20.100000000000001" customHeight="1" x14ac:dyDescent="0.25">
      <c r="B250" s="184"/>
      <c r="D250" s="64"/>
      <c r="E250" s="58"/>
      <c r="F250" s="59"/>
      <c r="G250" s="63"/>
      <c r="H250" s="60"/>
      <c r="I250" s="61" t="s">
        <v>376</v>
      </c>
      <c r="J250" s="61"/>
      <c r="K250" s="60"/>
      <c r="L250" s="59"/>
      <c r="M250" s="58"/>
      <c r="N250" s="57"/>
      <c r="Q250"/>
      <c r="R250"/>
      <c r="S250"/>
      <c r="T250"/>
      <c r="U250"/>
      <c r="V250"/>
      <c r="W250"/>
      <c r="X250"/>
    </row>
    <row r="251" spans="2:24" ht="5.0999999999999996" customHeight="1" x14ac:dyDescent="0.25">
      <c r="B251" s="184"/>
      <c r="D251" s="56"/>
      <c r="E251" s="54"/>
      <c r="F251" s="55"/>
      <c r="G251" s="54"/>
      <c r="H251" s="54"/>
      <c r="I251" s="54"/>
      <c r="J251" s="54"/>
      <c r="K251" s="54"/>
      <c r="L251" s="55"/>
      <c r="M251" s="54"/>
      <c r="N251" s="53"/>
      <c r="Q251"/>
      <c r="R251"/>
      <c r="S251"/>
      <c r="T251"/>
      <c r="U251"/>
      <c r="V251"/>
      <c r="W251"/>
      <c r="X251"/>
    </row>
    <row r="252" spans="2:24" ht="21.95" customHeight="1" x14ac:dyDescent="0.25">
      <c r="B252" s="184"/>
      <c r="D252" s="219" t="str">
        <f>TEXT(VLOOKUP(B254,tDatos[],IF(UTCElegido="",3,12),0),"dddd dd mmmm")</f>
        <v>lunes 22 Junio</v>
      </c>
      <c r="E252" s="219"/>
      <c r="F252" s="219"/>
      <c r="G252" s="219"/>
      <c r="H252" s="219"/>
      <c r="I252" s="219"/>
      <c r="J252" s="219"/>
      <c r="K252" s="219"/>
      <c r="L252" s="219"/>
      <c r="M252" s="219"/>
      <c r="N252" s="219"/>
      <c r="Q252"/>
      <c r="R252"/>
      <c r="S252"/>
      <c r="T252"/>
      <c r="U252"/>
      <c r="V252"/>
      <c r="W252"/>
      <c r="X252"/>
    </row>
    <row r="253" spans="2:24" ht="5.0999999999999996" customHeight="1" x14ac:dyDescent="0.25">
      <c r="B253" s="184"/>
      <c r="D253" s="74"/>
      <c r="E253" s="72"/>
      <c r="F253" s="73"/>
      <c r="G253" s="72"/>
      <c r="H253" s="72"/>
      <c r="I253" s="72"/>
      <c r="J253" s="72"/>
      <c r="K253" s="72"/>
      <c r="L253" s="73"/>
      <c r="M253" s="72"/>
      <c r="N253" s="71"/>
      <c r="Q253"/>
      <c r="R253"/>
      <c r="S253"/>
      <c r="T253"/>
      <c r="U253"/>
      <c r="V253"/>
      <c r="W253"/>
      <c r="X253"/>
    </row>
    <row r="254" spans="2:24" ht="21.95" customHeight="1" x14ac:dyDescent="0.25">
      <c r="B254" s="182">
        <v>42</v>
      </c>
      <c r="C254" s="129">
        <v>42</v>
      </c>
      <c r="D254" s="64"/>
      <c r="E254" s="222">
        <f>VLOOKUP(B254,tDatos[],IF(UTCElegido="",4,12),0)</f>
        <v>0.70833333333333337</v>
      </c>
      <c r="F254" s="222"/>
      <c r="G254" s="222"/>
      <c r="H254" s="65"/>
      <c r="I254" s="65"/>
      <c r="J254" s="65"/>
      <c r="K254" s="70"/>
      <c r="L254" s="69"/>
      <c r="M254"/>
      <c r="N254" s="57"/>
      <c r="Q254"/>
      <c r="R254"/>
      <c r="S254"/>
      <c r="T254"/>
      <c r="U254"/>
      <c r="V254"/>
      <c r="W254"/>
      <c r="X254"/>
    </row>
    <row r="255" spans="2:24" ht="21.95" customHeight="1" x14ac:dyDescent="0.25">
      <c r="B255" s="184"/>
      <c r="D255" s="64"/>
      <c r="E255" s="65"/>
      <c r="F255" s="68" t="s">
        <v>150</v>
      </c>
      <c r="G255" s="220">
        <v>3</v>
      </c>
      <c r="H255" s="221"/>
      <c r="I255" s="67" t="s">
        <v>0</v>
      </c>
      <c r="J255" s="220">
        <v>0</v>
      </c>
      <c r="K255" s="221"/>
      <c r="L255" s="66" t="s">
        <v>286</v>
      </c>
      <c r="M255" s="65"/>
      <c r="N255" s="57"/>
      <c r="Q255"/>
      <c r="R255"/>
      <c r="S255"/>
      <c r="T255"/>
      <c r="U255"/>
      <c r="V255"/>
      <c r="W255"/>
      <c r="X255"/>
    </row>
    <row r="256" spans="2:24" ht="20.100000000000001" customHeight="1" x14ac:dyDescent="0.25">
      <c r="B256" s="184"/>
      <c r="D256" s="64"/>
      <c r="E256" s="58"/>
      <c r="F256" s="59"/>
      <c r="G256" s="63"/>
      <c r="H256" s="60"/>
      <c r="I256" s="62" t="s">
        <v>377</v>
      </c>
      <c r="J256" s="61"/>
      <c r="K256" s="60"/>
      <c r="L256" s="59"/>
      <c r="M256" s="58"/>
      <c r="N256" s="57"/>
      <c r="Q256"/>
      <c r="R256"/>
      <c r="S256"/>
      <c r="T256"/>
      <c r="U256"/>
      <c r="V256"/>
      <c r="W256"/>
      <c r="X256"/>
    </row>
    <row r="257" spans="2:24" ht="5.0999999999999996" customHeight="1" x14ac:dyDescent="0.25">
      <c r="B257" s="184"/>
      <c r="D257" s="56"/>
      <c r="E257" s="54"/>
      <c r="F257" s="55"/>
      <c r="G257" s="54"/>
      <c r="H257" s="54"/>
      <c r="I257" s="54"/>
      <c r="J257" s="54"/>
      <c r="K257" s="54"/>
      <c r="L257" s="55"/>
      <c r="M257" s="54"/>
      <c r="N257" s="53"/>
      <c r="Q257"/>
      <c r="R257"/>
      <c r="S257"/>
      <c r="T257"/>
      <c r="U257"/>
      <c r="V257"/>
      <c r="W257"/>
      <c r="X257"/>
    </row>
    <row r="258" spans="2:24" ht="21.95" customHeight="1" x14ac:dyDescent="0.25">
      <c r="B258" s="184"/>
      <c r="D258" s="219" t="str">
        <f>TEXT(VLOOKUP(B260,tDatos[],IF(UTCElegido="",3,12),0),"dddd dd mmmm")</f>
        <v>lunes 22 Junio</v>
      </c>
      <c r="E258" s="219"/>
      <c r="F258" s="219"/>
      <c r="G258" s="219"/>
      <c r="H258" s="219"/>
      <c r="I258" s="219"/>
      <c r="J258" s="219"/>
      <c r="K258" s="219"/>
      <c r="L258" s="219"/>
      <c r="M258" s="219"/>
      <c r="N258" s="219"/>
      <c r="Q258"/>
      <c r="R258"/>
      <c r="S258"/>
      <c r="T258"/>
      <c r="U258"/>
      <c r="V258"/>
      <c r="W258"/>
      <c r="X258"/>
    </row>
    <row r="259" spans="2:24" ht="5.0999999999999996" customHeight="1" x14ac:dyDescent="0.25">
      <c r="B259" s="184"/>
      <c r="D259" s="74"/>
      <c r="E259" s="72"/>
      <c r="F259" s="73"/>
      <c r="G259" s="72"/>
      <c r="H259" s="72"/>
      <c r="I259" s="72"/>
      <c r="J259" s="72"/>
      <c r="K259" s="72"/>
      <c r="L259" s="73"/>
      <c r="M259" s="72"/>
      <c r="N259" s="71"/>
      <c r="Q259"/>
      <c r="R259"/>
      <c r="S259"/>
      <c r="T259"/>
      <c r="U259"/>
      <c r="V259"/>
      <c r="W259"/>
      <c r="X259"/>
    </row>
    <row r="260" spans="2:24" ht="21.95" customHeight="1" x14ac:dyDescent="0.25">
      <c r="B260" s="182">
        <v>43</v>
      </c>
      <c r="C260" s="129">
        <v>41</v>
      </c>
      <c r="D260" s="64"/>
      <c r="E260" s="222">
        <f>VLOOKUP(B260,tDatos[],IF(UTCElegido="",4,12),0)</f>
        <v>0.83333333333333337</v>
      </c>
      <c r="F260" s="222"/>
      <c r="G260" s="222"/>
      <c r="H260" s="77"/>
      <c r="I260" s="77"/>
      <c r="J260" s="77"/>
      <c r="K260" s="76"/>
      <c r="L260" s="75"/>
      <c r="M260"/>
      <c r="N260" s="57"/>
      <c r="Q260"/>
      <c r="R260"/>
      <c r="S260"/>
      <c r="T260"/>
      <c r="U260"/>
      <c r="V260"/>
      <c r="W260"/>
      <c r="X260"/>
    </row>
    <row r="261" spans="2:24" ht="21.95" customHeight="1" x14ac:dyDescent="0.25">
      <c r="B261" s="184"/>
      <c r="D261" s="64"/>
      <c r="E261" s="65"/>
      <c r="F261" s="68" t="s">
        <v>117</v>
      </c>
      <c r="G261" s="220">
        <v>3</v>
      </c>
      <c r="H261" s="221"/>
      <c r="I261" s="67" t="s">
        <v>0</v>
      </c>
      <c r="J261" s="220">
        <v>2</v>
      </c>
      <c r="K261" s="221"/>
      <c r="L261" s="66" t="s">
        <v>149</v>
      </c>
      <c r="M261" s="65"/>
      <c r="N261" s="57"/>
      <c r="Q261"/>
      <c r="R261"/>
      <c r="S261"/>
      <c r="T261"/>
      <c r="U261"/>
      <c r="V261"/>
      <c r="W261"/>
      <c r="X261"/>
    </row>
    <row r="262" spans="2:24" ht="20.100000000000001" customHeight="1" x14ac:dyDescent="0.25">
      <c r="B262" s="184"/>
      <c r="D262" s="64"/>
      <c r="E262" s="58"/>
      <c r="F262" s="59"/>
      <c r="G262" s="63"/>
      <c r="H262" s="60"/>
      <c r="I262" s="61" t="s">
        <v>370</v>
      </c>
      <c r="J262" s="61"/>
      <c r="K262" s="60"/>
      <c r="L262" s="59"/>
      <c r="M262" s="58"/>
      <c r="N262" s="57"/>
      <c r="Q262"/>
      <c r="R262"/>
      <c r="S262"/>
      <c r="T262"/>
      <c r="U262"/>
      <c r="V262"/>
      <c r="W262"/>
      <c r="X262"/>
    </row>
    <row r="263" spans="2:24" ht="5.0999999999999996" customHeight="1" x14ac:dyDescent="0.25">
      <c r="B263" s="184"/>
      <c r="D263" s="56"/>
      <c r="E263" s="54"/>
      <c r="F263" s="55"/>
      <c r="G263" s="54"/>
      <c r="H263" s="54"/>
      <c r="I263" s="54"/>
      <c r="J263" s="54"/>
      <c r="K263" s="54"/>
      <c r="L263" s="55"/>
      <c r="M263" s="54"/>
      <c r="N263" s="53"/>
      <c r="Q263"/>
      <c r="R263"/>
      <c r="S263"/>
      <c r="T263"/>
      <c r="U263"/>
      <c r="V263"/>
      <c r="W263"/>
      <c r="X263"/>
    </row>
    <row r="264" spans="2:24" ht="21.95" customHeight="1" x14ac:dyDescent="0.25">
      <c r="B264" s="184"/>
      <c r="D264" s="219" t="str">
        <f>TEXT(VLOOKUP(B266,tDatos[],IF(UTCElegido="",3,12),0),"dddd dd mmmm")</f>
        <v>lunes 22 Junio</v>
      </c>
      <c r="E264" s="219"/>
      <c r="F264" s="219"/>
      <c r="G264" s="219"/>
      <c r="H264" s="219"/>
      <c r="I264" s="219"/>
      <c r="J264" s="219"/>
      <c r="K264" s="219"/>
      <c r="L264" s="219"/>
      <c r="M264" s="219"/>
      <c r="N264" s="219"/>
      <c r="Q264"/>
      <c r="R264"/>
      <c r="S264"/>
      <c r="T264"/>
      <c r="U264"/>
      <c r="V264"/>
      <c r="W264"/>
      <c r="X264"/>
    </row>
    <row r="265" spans="2:24" ht="5.0999999999999996" customHeight="1" x14ac:dyDescent="0.25">
      <c r="B265" s="184"/>
      <c r="D265" s="78"/>
      <c r="E265" s="72"/>
      <c r="F265" s="73"/>
      <c r="G265" s="72"/>
      <c r="H265" s="72"/>
      <c r="I265" s="72"/>
      <c r="J265" s="72"/>
      <c r="K265" s="72"/>
      <c r="L265" s="73"/>
      <c r="M265" s="72"/>
      <c r="N265" s="71"/>
      <c r="Q265"/>
      <c r="R265"/>
      <c r="S265"/>
      <c r="T265"/>
      <c r="U265"/>
      <c r="V265"/>
      <c r="W265"/>
      <c r="X265"/>
    </row>
    <row r="266" spans="2:24" ht="21.95" customHeight="1" x14ac:dyDescent="0.25">
      <c r="B266" s="182">
        <v>44</v>
      </c>
      <c r="C266" s="129">
        <v>44</v>
      </c>
      <c r="D266" s="64"/>
      <c r="E266" s="222">
        <f>VLOOKUP(B266,tDatos[],IF(UTCElegido="",4,12),0)</f>
        <v>0.95833333333333337</v>
      </c>
      <c r="F266" s="222"/>
      <c r="G266" s="222"/>
      <c r="H266" s="77"/>
      <c r="I266" s="77"/>
      <c r="J266" s="77"/>
      <c r="K266" s="76"/>
      <c r="L266" s="75"/>
      <c r="M266"/>
      <c r="N266" s="57"/>
      <c r="Q266"/>
      <c r="R266"/>
      <c r="S266"/>
      <c r="T266"/>
      <c r="U266"/>
      <c r="V266"/>
      <c r="W266"/>
      <c r="X266"/>
    </row>
    <row r="267" spans="2:24" ht="21.95" customHeight="1" x14ac:dyDescent="0.25">
      <c r="B267" s="184"/>
      <c r="D267" s="64"/>
      <c r="E267" s="65"/>
      <c r="F267" s="68" t="s">
        <v>91</v>
      </c>
      <c r="G267" s="220">
        <v>1</v>
      </c>
      <c r="H267" s="221"/>
      <c r="I267" s="67" t="s">
        <v>0</v>
      </c>
      <c r="J267" s="220">
        <v>2</v>
      </c>
      <c r="K267" s="221"/>
      <c r="L267" s="66" t="s">
        <v>147</v>
      </c>
      <c r="M267" s="65"/>
      <c r="N267" s="57"/>
      <c r="Q267"/>
      <c r="R267"/>
      <c r="S267"/>
      <c r="T267"/>
      <c r="U267"/>
      <c r="V267"/>
      <c r="W267"/>
      <c r="X267"/>
    </row>
    <row r="268" spans="2:24" ht="20.100000000000001" customHeight="1" x14ac:dyDescent="0.25">
      <c r="B268" s="184"/>
      <c r="D268" s="64"/>
      <c r="E268" s="58"/>
      <c r="F268" s="59"/>
      <c r="G268" s="63"/>
      <c r="H268" s="60"/>
      <c r="I268" s="61" t="s">
        <v>374</v>
      </c>
      <c r="J268" s="61"/>
      <c r="K268" s="60"/>
      <c r="L268" s="59"/>
      <c r="M268" s="58"/>
      <c r="N268" s="57"/>
      <c r="Q268"/>
      <c r="R268"/>
      <c r="S268"/>
      <c r="T268"/>
      <c r="U268"/>
      <c r="V268"/>
      <c r="W268"/>
      <c r="X268"/>
    </row>
    <row r="269" spans="2:24" ht="5.0999999999999996" customHeight="1" x14ac:dyDescent="0.25">
      <c r="B269" s="184"/>
      <c r="D269" s="56"/>
      <c r="E269" s="54"/>
      <c r="F269" s="55"/>
      <c r="G269" s="54"/>
      <c r="H269" s="54"/>
      <c r="I269" s="54"/>
      <c r="J269" s="54"/>
      <c r="K269" s="54"/>
      <c r="L269" s="55"/>
      <c r="M269" s="54"/>
      <c r="N269" s="53"/>
      <c r="Q269"/>
      <c r="R269"/>
      <c r="S269"/>
      <c r="T269"/>
      <c r="U269"/>
      <c r="V269"/>
      <c r="W269"/>
      <c r="X269"/>
    </row>
    <row r="270" spans="2:24" ht="21.95" customHeight="1" x14ac:dyDescent="0.25">
      <c r="B270" s="184"/>
      <c r="D270" s="219" t="str">
        <f>TEXT(VLOOKUP(B272,tDatos[],IF(UTCElegido="",3,12),0),"dddd dd mmmm")</f>
        <v>martes 23 Junio</v>
      </c>
      <c r="E270" s="219"/>
      <c r="F270" s="219"/>
      <c r="G270" s="219"/>
      <c r="H270" s="219"/>
      <c r="I270" s="219"/>
      <c r="J270" s="219"/>
      <c r="K270" s="219"/>
      <c r="L270" s="219"/>
      <c r="M270" s="219"/>
      <c r="N270" s="219"/>
      <c r="Q270"/>
      <c r="R270"/>
      <c r="S270"/>
      <c r="T270"/>
      <c r="U270"/>
      <c r="V270"/>
      <c r="W270"/>
      <c r="X270"/>
    </row>
    <row r="271" spans="2:24" ht="5.0999999999999996" customHeight="1" x14ac:dyDescent="0.25">
      <c r="B271" s="184"/>
      <c r="D271" s="74"/>
      <c r="E271" s="72"/>
      <c r="F271" s="73"/>
      <c r="G271" s="72"/>
      <c r="H271" s="72"/>
      <c r="I271" s="72"/>
      <c r="J271" s="72"/>
      <c r="K271" s="72"/>
      <c r="L271" s="73"/>
      <c r="M271" s="72"/>
      <c r="N271" s="71"/>
      <c r="Q271"/>
      <c r="R271"/>
      <c r="S271"/>
      <c r="T271"/>
      <c r="U271"/>
      <c r="V271"/>
      <c r="W271"/>
      <c r="X271"/>
    </row>
    <row r="272" spans="2:24" ht="21.95" customHeight="1" x14ac:dyDescent="0.25">
      <c r="B272" s="182">
        <v>45</v>
      </c>
      <c r="C272" s="129">
        <v>47</v>
      </c>
      <c r="D272" s="64"/>
      <c r="E272" s="222">
        <f>VLOOKUP(B272,tDatos[],IF(UTCElegido="",4,12),0)</f>
        <v>0.54166666666666663</v>
      </c>
      <c r="F272" s="222"/>
      <c r="G272" s="222"/>
      <c r="H272" s="77"/>
      <c r="I272" s="77"/>
      <c r="J272" s="77"/>
      <c r="K272" s="76"/>
      <c r="L272" s="75"/>
      <c r="M272"/>
      <c r="N272" s="57"/>
      <c r="Q272"/>
      <c r="R272"/>
      <c r="S272"/>
      <c r="T272"/>
      <c r="U272"/>
      <c r="V272"/>
      <c r="W272"/>
      <c r="X272"/>
    </row>
    <row r="273" spans="2:24" ht="21.95" customHeight="1" x14ac:dyDescent="0.25">
      <c r="B273" s="184"/>
      <c r="D273" s="64"/>
      <c r="E273" s="65"/>
      <c r="F273" s="68" t="s">
        <v>146</v>
      </c>
      <c r="G273" s="220">
        <v>5</v>
      </c>
      <c r="H273" s="221"/>
      <c r="I273" s="67" t="s">
        <v>0</v>
      </c>
      <c r="J273" s="220">
        <v>0</v>
      </c>
      <c r="K273" s="221"/>
      <c r="L273" s="66" t="s">
        <v>95</v>
      </c>
      <c r="M273" s="65"/>
      <c r="N273" s="57"/>
      <c r="Q273"/>
      <c r="R273"/>
      <c r="S273"/>
      <c r="T273"/>
      <c r="U273"/>
      <c r="V273"/>
      <c r="W273"/>
      <c r="X273"/>
    </row>
    <row r="274" spans="2:24" ht="20.100000000000001" customHeight="1" x14ac:dyDescent="0.25">
      <c r="B274" s="184"/>
      <c r="D274" s="64"/>
      <c r="E274" s="58"/>
      <c r="F274" s="59"/>
      <c r="G274" s="63"/>
      <c r="H274" s="60"/>
      <c r="I274" s="61" t="s">
        <v>375</v>
      </c>
      <c r="J274" s="61"/>
      <c r="K274" s="60"/>
      <c r="L274" s="59"/>
      <c r="M274" s="58"/>
      <c r="N274" s="57"/>
      <c r="Q274"/>
      <c r="R274"/>
      <c r="S274"/>
      <c r="T274"/>
      <c r="U274"/>
      <c r="V274"/>
      <c r="W274"/>
      <c r="X274"/>
    </row>
    <row r="275" spans="2:24" ht="5.0999999999999996" customHeight="1" x14ac:dyDescent="0.25">
      <c r="B275" s="184"/>
      <c r="D275" s="56"/>
      <c r="E275" s="54"/>
      <c r="F275" s="55"/>
      <c r="G275" s="54"/>
      <c r="H275" s="54"/>
      <c r="I275" s="54"/>
      <c r="J275" s="54"/>
      <c r="K275" s="54"/>
      <c r="L275" s="55"/>
      <c r="M275" s="54"/>
      <c r="N275" s="53"/>
      <c r="Q275"/>
      <c r="R275"/>
      <c r="S275"/>
      <c r="T275"/>
      <c r="U275"/>
      <c r="V275"/>
      <c r="W275"/>
      <c r="X275"/>
    </row>
    <row r="276" spans="2:24" ht="21.95" customHeight="1" x14ac:dyDescent="0.25">
      <c r="B276" s="184"/>
      <c r="D276" s="219" t="str">
        <f>TEXT(VLOOKUP(B278,tDatos[],IF(UTCElegido="",3,12),0),"dddd dd mmmm")</f>
        <v>martes 23 Junio</v>
      </c>
      <c r="E276" s="219"/>
      <c r="F276" s="219"/>
      <c r="G276" s="219"/>
      <c r="H276" s="219"/>
      <c r="I276" s="219"/>
      <c r="J276" s="219"/>
      <c r="K276" s="219"/>
      <c r="L276" s="219"/>
      <c r="M276" s="219"/>
      <c r="N276" s="219"/>
      <c r="Q276"/>
      <c r="R276"/>
      <c r="S276"/>
      <c r="T276"/>
      <c r="U276"/>
      <c r="V276"/>
      <c r="W276"/>
      <c r="X276"/>
    </row>
    <row r="277" spans="2:24" ht="5.0999999999999996" customHeight="1" x14ac:dyDescent="0.25">
      <c r="B277" s="184"/>
      <c r="D277" s="74"/>
      <c r="E277" s="72"/>
      <c r="F277" s="73"/>
      <c r="G277" s="72"/>
      <c r="H277" s="72"/>
      <c r="I277" s="72"/>
      <c r="J277" s="72"/>
      <c r="K277" s="72"/>
      <c r="L277" s="73"/>
      <c r="M277" s="72"/>
      <c r="N277" s="71"/>
      <c r="Q277"/>
      <c r="R277"/>
      <c r="S277"/>
      <c r="T277"/>
      <c r="U277"/>
      <c r="V277"/>
      <c r="W277"/>
      <c r="X277"/>
    </row>
    <row r="278" spans="2:24" ht="21.95" customHeight="1" x14ac:dyDescent="0.25">
      <c r="B278" s="182">
        <v>46</v>
      </c>
      <c r="C278" s="129">
        <v>45</v>
      </c>
      <c r="D278" s="64"/>
      <c r="E278" s="222">
        <f>VLOOKUP(B278,tDatos[],IF(UTCElegido="",4,12),0)</f>
        <v>0.66666666666666663</v>
      </c>
      <c r="F278" s="222"/>
      <c r="G278" s="222"/>
      <c r="H278" s="77"/>
      <c r="I278" s="77"/>
      <c r="J278" s="77"/>
      <c r="K278" s="76"/>
      <c r="L278" s="75"/>
      <c r="M278"/>
      <c r="N278" s="57"/>
      <c r="Q278"/>
      <c r="R278"/>
      <c r="S278"/>
      <c r="T278"/>
      <c r="U278"/>
      <c r="V278"/>
      <c r="W278"/>
      <c r="X278"/>
    </row>
    <row r="279" spans="2:24" ht="21.95" customHeight="1" x14ac:dyDescent="0.25">
      <c r="B279" s="184"/>
      <c r="D279" s="64"/>
      <c r="E279" s="65"/>
      <c r="F279" s="68" t="s">
        <v>145</v>
      </c>
      <c r="G279" s="220">
        <v>0</v>
      </c>
      <c r="H279" s="221"/>
      <c r="I279" s="67" t="s">
        <v>0</v>
      </c>
      <c r="J279" s="220">
        <v>0</v>
      </c>
      <c r="K279" s="221"/>
      <c r="L279" s="66" t="s">
        <v>99</v>
      </c>
      <c r="M279" s="65"/>
      <c r="N279" s="57"/>
      <c r="Q279"/>
      <c r="R279"/>
      <c r="S279"/>
      <c r="T279"/>
      <c r="U279"/>
      <c r="V279"/>
      <c r="W279"/>
      <c r="X279"/>
    </row>
    <row r="280" spans="2:24" ht="20.100000000000001" customHeight="1" x14ac:dyDescent="0.25">
      <c r="B280" s="184"/>
      <c r="D280" s="64"/>
      <c r="E280" s="58"/>
      <c r="F280" s="59"/>
      <c r="G280" s="63"/>
      <c r="H280" s="60"/>
      <c r="I280" s="61" t="s">
        <v>371</v>
      </c>
      <c r="J280" s="61"/>
      <c r="K280" s="60"/>
      <c r="L280" s="59"/>
      <c r="M280" s="58"/>
      <c r="N280" s="57"/>
      <c r="Q280"/>
      <c r="R280"/>
      <c r="S280"/>
      <c r="T280"/>
      <c r="U280"/>
      <c r="V280"/>
      <c r="W280"/>
      <c r="X280"/>
    </row>
    <row r="281" spans="2:24" ht="5.0999999999999996" customHeight="1" x14ac:dyDescent="0.25">
      <c r="B281" s="184"/>
      <c r="D281" s="56"/>
      <c r="E281" s="54"/>
      <c r="F281" s="55"/>
      <c r="G281" s="54"/>
      <c r="H281" s="54"/>
      <c r="I281" s="54"/>
      <c r="J281" s="54"/>
      <c r="K281" s="54"/>
      <c r="L281" s="55"/>
      <c r="M281" s="54"/>
      <c r="N281" s="53"/>
      <c r="Q281"/>
      <c r="R281"/>
      <c r="S281"/>
      <c r="T281"/>
      <c r="U281"/>
      <c r="V281"/>
      <c r="W281"/>
      <c r="X281"/>
    </row>
    <row r="282" spans="2:24" ht="21.95" customHeight="1" x14ac:dyDescent="0.25">
      <c r="B282" s="184"/>
      <c r="D282" s="219" t="str">
        <f>TEXT(VLOOKUP(B284,tDatos[],IF(UTCElegido="",3,12),0),"dddd dd mmmm")</f>
        <v>martes 23 Junio</v>
      </c>
      <c r="E282" s="219"/>
      <c r="F282" s="219"/>
      <c r="G282" s="219"/>
      <c r="H282" s="219"/>
      <c r="I282" s="219"/>
      <c r="J282" s="219"/>
      <c r="K282" s="219"/>
      <c r="L282" s="219"/>
      <c r="M282" s="219"/>
      <c r="N282" s="219"/>
      <c r="Q282"/>
      <c r="R282"/>
      <c r="S282"/>
      <c r="T282"/>
      <c r="U282"/>
      <c r="V282"/>
      <c r="W282"/>
      <c r="X282"/>
    </row>
    <row r="283" spans="2:24" ht="5.0999999999999996" customHeight="1" x14ac:dyDescent="0.25">
      <c r="B283" s="184"/>
      <c r="D283" s="74"/>
      <c r="E283" s="72"/>
      <c r="F283" s="73"/>
      <c r="G283" s="72"/>
      <c r="H283" s="72"/>
      <c r="I283" s="72"/>
      <c r="J283" s="72"/>
      <c r="K283" s="72"/>
      <c r="L283" s="73"/>
      <c r="M283" s="72"/>
      <c r="N283" s="71"/>
      <c r="Q283"/>
      <c r="R283"/>
      <c r="S283"/>
      <c r="T283"/>
      <c r="U283"/>
      <c r="V283"/>
      <c r="W283"/>
      <c r="X283"/>
    </row>
    <row r="284" spans="2:24" ht="21.95" customHeight="1" x14ac:dyDescent="0.25">
      <c r="B284" s="182">
        <v>47</v>
      </c>
      <c r="C284" s="129">
        <v>46</v>
      </c>
      <c r="D284" s="64"/>
      <c r="E284" s="222">
        <f>VLOOKUP(B284,tDatos[],IF(UTCElegido="",4,12),0)</f>
        <v>0.79166666666666663</v>
      </c>
      <c r="F284" s="222"/>
      <c r="G284" s="222"/>
      <c r="H284" s="77"/>
      <c r="I284" s="77"/>
      <c r="J284" s="77"/>
      <c r="K284" s="76"/>
      <c r="L284" s="75"/>
      <c r="M284"/>
      <c r="N284" s="57"/>
      <c r="Q284"/>
      <c r="R284"/>
      <c r="S284"/>
      <c r="T284"/>
      <c r="U284"/>
      <c r="V284"/>
      <c r="W284"/>
      <c r="X284"/>
    </row>
    <row r="285" spans="2:24" ht="21.95" customHeight="1" x14ac:dyDescent="0.25">
      <c r="B285" s="184"/>
      <c r="D285" s="64"/>
      <c r="E285" s="65"/>
      <c r="F285" s="68" t="s">
        <v>103</v>
      </c>
      <c r="G285" s="220">
        <v>0</v>
      </c>
      <c r="H285" s="221"/>
      <c r="I285" s="67" t="s">
        <v>0</v>
      </c>
      <c r="J285" s="220">
        <v>1</v>
      </c>
      <c r="K285" s="221"/>
      <c r="L285" s="66" t="s">
        <v>144</v>
      </c>
      <c r="M285" s="65"/>
      <c r="N285" s="57"/>
      <c r="Q285"/>
      <c r="R285"/>
      <c r="S285"/>
      <c r="T285"/>
      <c r="U285"/>
      <c r="V285"/>
      <c r="W285"/>
      <c r="X285"/>
    </row>
    <row r="286" spans="2:24" ht="20.100000000000001" customHeight="1" x14ac:dyDescent="0.25">
      <c r="B286" s="184"/>
      <c r="D286" s="64"/>
      <c r="E286" s="58"/>
      <c r="F286" s="59"/>
      <c r="G286" s="63"/>
      <c r="H286" s="60"/>
      <c r="I286" s="61" t="s">
        <v>368</v>
      </c>
      <c r="J286" s="61"/>
      <c r="K286" s="60"/>
      <c r="L286" s="59"/>
      <c r="M286" s="58"/>
      <c r="N286" s="57"/>
      <c r="Q286"/>
      <c r="R286"/>
      <c r="S286"/>
      <c r="T286"/>
      <c r="U286"/>
      <c r="V286"/>
      <c r="W286"/>
      <c r="X286"/>
    </row>
    <row r="287" spans="2:24" ht="5.0999999999999996" customHeight="1" x14ac:dyDescent="0.25">
      <c r="B287" s="184"/>
      <c r="D287" s="56"/>
      <c r="E287" s="54"/>
      <c r="F287" s="55"/>
      <c r="G287" s="54"/>
      <c r="H287" s="54"/>
      <c r="I287" s="54"/>
      <c r="J287" s="54"/>
      <c r="K287" s="54"/>
      <c r="L287" s="55"/>
      <c r="M287" s="54"/>
      <c r="N287" s="53"/>
      <c r="Q287"/>
      <c r="R287"/>
      <c r="S287"/>
      <c r="T287"/>
      <c r="U287"/>
      <c r="V287"/>
      <c r="W287"/>
      <c r="X287"/>
    </row>
    <row r="288" spans="2:24" ht="21.95" customHeight="1" x14ac:dyDescent="0.25">
      <c r="B288" s="184"/>
      <c r="D288" s="219" t="str">
        <f>TEXT(VLOOKUP(B290,tDatos[],IF(UTCElegido="",3,12),0),"dddd dd mmmm")</f>
        <v>martes 23 Junio</v>
      </c>
      <c r="E288" s="219"/>
      <c r="F288" s="219"/>
      <c r="G288" s="219"/>
      <c r="H288" s="219"/>
      <c r="I288" s="219"/>
      <c r="J288" s="219"/>
      <c r="K288" s="219"/>
      <c r="L288" s="219"/>
      <c r="M288" s="219"/>
      <c r="N288" s="219"/>
      <c r="Q288"/>
      <c r="R288"/>
      <c r="S288"/>
      <c r="T288"/>
      <c r="U288"/>
      <c r="V288"/>
      <c r="W288"/>
      <c r="X288"/>
    </row>
    <row r="289" spans="2:24" ht="5.0999999999999996" customHeight="1" x14ac:dyDescent="0.25">
      <c r="B289" s="184"/>
      <c r="D289" s="74"/>
      <c r="E289" s="72"/>
      <c r="F289" s="73"/>
      <c r="G289" s="72"/>
      <c r="H289" s="72"/>
      <c r="I289" s="72"/>
      <c r="J289" s="72"/>
      <c r="K289" s="72"/>
      <c r="L289" s="73"/>
      <c r="M289" s="72"/>
      <c r="N289" s="71"/>
      <c r="Q289"/>
      <c r="R289"/>
      <c r="S289"/>
      <c r="T289"/>
      <c r="U289"/>
      <c r="V289"/>
      <c r="W289"/>
      <c r="X289"/>
    </row>
    <row r="290" spans="2:24" ht="21.95" customHeight="1" x14ac:dyDescent="0.25">
      <c r="B290" s="182">
        <v>48</v>
      </c>
      <c r="C290" s="129">
        <v>48</v>
      </c>
      <c r="D290" s="64"/>
      <c r="E290" s="222">
        <f>VLOOKUP(B290,tDatos[],IF(UTCElegido="",4,12),0)</f>
        <v>0.91666666666666663</v>
      </c>
      <c r="F290" s="222"/>
      <c r="G290" s="222"/>
      <c r="H290" s="65"/>
      <c r="I290" s="65"/>
      <c r="J290" s="65"/>
      <c r="K290" s="70"/>
      <c r="L290" s="69"/>
      <c r="M290"/>
      <c r="N290" s="57"/>
      <c r="Q290"/>
      <c r="R290"/>
      <c r="S290"/>
      <c r="T290"/>
      <c r="U290"/>
      <c r="V290"/>
      <c r="W290"/>
      <c r="X290"/>
    </row>
    <row r="291" spans="2:24" ht="21.95" customHeight="1" x14ac:dyDescent="0.25">
      <c r="B291" s="184"/>
      <c r="D291" s="64"/>
      <c r="E291" s="65"/>
      <c r="F291" s="68" t="s">
        <v>98</v>
      </c>
      <c r="G291" s="220">
        <v>1</v>
      </c>
      <c r="H291" s="221"/>
      <c r="I291" s="67" t="s">
        <v>0</v>
      </c>
      <c r="J291" s="220">
        <v>0</v>
      </c>
      <c r="K291" s="221"/>
      <c r="L291" s="66" t="s">
        <v>362</v>
      </c>
      <c r="M291" s="65"/>
      <c r="N291" s="57"/>
      <c r="Q291"/>
      <c r="R291"/>
      <c r="S291"/>
      <c r="T291"/>
      <c r="U291"/>
      <c r="V291"/>
      <c r="W291"/>
      <c r="X291"/>
    </row>
    <row r="292" spans="2:24" ht="20.100000000000001" customHeight="1" x14ac:dyDescent="0.25">
      <c r="B292" s="184"/>
      <c r="D292" s="64"/>
      <c r="E292" s="58"/>
      <c r="F292" s="59"/>
      <c r="G292" s="63"/>
      <c r="H292" s="60"/>
      <c r="I292" s="62" t="s">
        <v>367</v>
      </c>
      <c r="J292" s="61"/>
      <c r="K292" s="60"/>
      <c r="L292" s="59"/>
      <c r="M292" s="58"/>
      <c r="N292" s="57"/>
      <c r="Q292"/>
      <c r="R292"/>
      <c r="S292"/>
      <c r="T292"/>
      <c r="U292"/>
      <c r="V292"/>
      <c r="W292"/>
      <c r="X292"/>
    </row>
    <row r="293" spans="2:24" ht="5.0999999999999996" customHeight="1" x14ac:dyDescent="0.25">
      <c r="B293" s="184"/>
      <c r="D293" s="56"/>
      <c r="E293" s="54"/>
      <c r="F293" s="55"/>
      <c r="G293" s="54"/>
      <c r="H293" s="54"/>
      <c r="I293" s="54"/>
      <c r="J293" s="54"/>
      <c r="K293" s="54"/>
      <c r="L293" s="55"/>
      <c r="M293" s="54"/>
      <c r="N293" s="53"/>
      <c r="Q293"/>
      <c r="R293"/>
      <c r="S293"/>
      <c r="T293"/>
      <c r="U293"/>
      <c r="V293"/>
      <c r="W293"/>
      <c r="X293"/>
    </row>
    <row r="294" spans="2:24" ht="21.95" customHeight="1" x14ac:dyDescent="0.25">
      <c r="B294" s="184"/>
      <c r="D294" s="219" t="str">
        <f>TEXT(VLOOKUP(B296,tDatos[],IF(UTCElegido="",3,12),0),"dddd dd mmmm")</f>
        <v>miércoles 24 Junio</v>
      </c>
      <c r="E294" s="219"/>
      <c r="F294" s="219"/>
      <c r="G294" s="219"/>
      <c r="H294" s="219"/>
      <c r="I294" s="219"/>
      <c r="J294" s="219"/>
      <c r="K294" s="219"/>
      <c r="L294" s="219"/>
      <c r="M294" s="219"/>
      <c r="N294" s="219"/>
      <c r="Q294"/>
      <c r="R294"/>
      <c r="S294"/>
      <c r="T294"/>
      <c r="U294"/>
      <c r="V294"/>
      <c r="W294"/>
      <c r="X294"/>
    </row>
    <row r="295" spans="2:24" ht="5.0999999999999996" customHeight="1" x14ac:dyDescent="0.25">
      <c r="B295" s="184"/>
      <c r="D295" s="78"/>
      <c r="E295" s="72"/>
      <c r="F295" s="73"/>
      <c r="G295" s="72"/>
      <c r="H295" s="72"/>
      <c r="I295" s="72"/>
      <c r="J295" s="72"/>
      <c r="K295" s="72"/>
      <c r="L295" s="73"/>
      <c r="M295" s="72"/>
      <c r="N295" s="71"/>
      <c r="Q295"/>
      <c r="R295"/>
      <c r="S295"/>
      <c r="T295"/>
      <c r="U295"/>
      <c r="V295"/>
      <c r="W295"/>
      <c r="X295"/>
    </row>
    <row r="296" spans="2:24" ht="21.95" customHeight="1" x14ac:dyDescent="0.25">
      <c r="B296" s="182">
        <v>49</v>
      </c>
      <c r="C296" s="129">
        <v>51</v>
      </c>
      <c r="D296" s="64"/>
      <c r="E296" s="222">
        <f>VLOOKUP(B296,tDatos[],IF(UTCElegido="",4,12),0)</f>
        <v>0.625</v>
      </c>
      <c r="F296" s="222"/>
      <c r="G296" s="222"/>
      <c r="H296" s="77"/>
      <c r="I296" s="77"/>
      <c r="J296" s="77"/>
      <c r="K296" s="76"/>
      <c r="L296" s="75"/>
      <c r="M296"/>
      <c r="N296" s="57"/>
      <c r="Q296"/>
      <c r="R296"/>
      <c r="S296"/>
      <c r="T296"/>
      <c r="U296"/>
      <c r="V296"/>
      <c r="W296"/>
      <c r="X296"/>
    </row>
    <row r="297" spans="2:24" ht="21.95" customHeight="1" x14ac:dyDescent="0.25">
      <c r="B297" s="184"/>
      <c r="D297" s="64"/>
      <c r="E297" s="65"/>
      <c r="F297" s="68" t="s">
        <v>142</v>
      </c>
      <c r="G297" s="220">
        <v>2</v>
      </c>
      <c r="H297" s="221"/>
      <c r="I297" s="67" t="s">
        <v>0</v>
      </c>
      <c r="J297" s="220">
        <v>1</v>
      </c>
      <c r="K297" s="221"/>
      <c r="L297" s="66" t="s">
        <v>141</v>
      </c>
      <c r="M297" s="65"/>
      <c r="N297" s="57"/>
      <c r="Q297"/>
      <c r="R297"/>
      <c r="S297"/>
      <c r="T297"/>
      <c r="U297"/>
      <c r="V297"/>
      <c r="W297"/>
      <c r="X297"/>
    </row>
    <row r="298" spans="2:24" ht="20.100000000000001" customHeight="1" x14ac:dyDescent="0.25">
      <c r="B298" s="184"/>
      <c r="D298" s="64"/>
      <c r="E298" s="58"/>
      <c r="F298" s="59"/>
      <c r="G298" s="63"/>
      <c r="H298" s="60"/>
      <c r="I298" s="61" t="s">
        <v>372</v>
      </c>
      <c r="J298" s="61"/>
      <c r="K298" s="60"/>
      <c r="L298" s="59"/>
      <c r="M298" s="58"/>
      <c r="N298" s="57"/>
      <c r="Q298"/>
      <c r="R298"/>
      <c r="S298"/>
      <c r="T298"/>
      <c r="U298"/>
      <c r="V298"/>
      <c r="W298"/>
      <c r="X298"/>
    </row>
    <row r="299" spans="2:24" ht="5.0999999999999996" customHeight="1" x14ac:dyDescent="0.25">
      <c r="B299" s="184"/>
      <c r="D299" s="56"/>
      <c r="E299" s="54"/>
      <c r="F299" s="55"/>
      <c r="G299" s="54"/>
      <c r="H299" s="54"/>
      <c r="I299" s="54"/>
      <c r="J299" s="54"/>
      <c r="K299" s="54"/>
      <c r="L299" s="55"/>
      <c r="M299" s="54"/>
      <c r="N299" s="53"/>
      <c r="Q299"/>
      <c r="R299"/>
      <c r="S299"/>
      <c r="T299"/>
      <c r="U299"/>
      <c r="V299"/>
      <c r="W299"/>
      <c r="X299"/>
    </row>
    <row r="300" spans="2:24" ht="21.95" customHeight="1" x14ac:dyDescent="0.25">
      <c r="B300" s="184"/>
      <c r="D300" s="219" t="str">
        <f>TEXT(VLOOKUP(B302,tDatos[],IF(UTCElegido="",3,12),0),"dddd dd mmmm")</f>
        <v>miércoles 24 Junio</v>
      </c>
      <c r="E300" s="219"/>
      <c r="F300" s="219"/>
      <c r="G300" s="219"/>
      <c r="H300" s="219"/>
      <c r="I300" s="219"/>
      <c r="J300" s="219"/>
      <c r="K300" s="219"/>
      <c r="L300" s="219"/>
      <c r="M300" s="219"/>
      <c r="N300" s="219"/>
      <c r="Q300"/>
      <c r="R300"/>
      <c r="S300"/>
      <c r="T300"/>
      <c r="U300"/>
      <c r="V300"/>
      <c r="W300"/>
      <c r="X300"/>
    </row>
    <row r="301" spans="2:24" ht="5.0999999999999996" customHeight="1" x14ac:dyDescent="0.25">
      <c r="B301" s="184"/>
      <c r="D301" s="64"/>
      <c r="E301" s="81"/>
      <c r="F301" s="82"/>
      <c r="G301" s="81"/>
      <c r="H301" s="81"/>
      <c r="I301" s="81"/>
      <c r="J301" s="81"/>
      <c r="K301" s="81"/>
      <c r="L301" s="82"/>
      <c r="M301" s="81"/>
      <c r="N301" s="57"/>
      <c r="Q301"/>
      <c r="R301"/>
      <c r="S301"/>
      <c r="T301"/>
      <c r="U301"/>
      <c r="V301"/>
      <c r="W301"/>
      <c r="X301"/>
    </row>
    <row r="302" spans="2:24" ht="21.95" customHeight="1" x14ac:dyDescent="0.25">
      <c r="B302" s="182">
        <v>50</v>
      </c>
      <c r="C302" s="129">
        <v>52</v>
      </c>
      <c r="D302" s="64"/>
      <c r="E302" s="222">
        <f>VLOOKUP(B302,tDatos[],IF(UTCElegido="",4,12),0)</f>
        <v>0.625</v>
      </c>
      <c r="F302" s="222"/>
      <c r="G302" s="222"/>
      <c r="H302" s="77"/>
      <c r="I302" s="77"/>
      <c r="J302" s="77"/>
      <c r="K302" s="76"/>
      <c r="L302" s="75"/>
      <c r="M302"/>
      <c r="N302" s="57"/>
      <c r="Q302"/>
      <c r="R302"/>
      <c r="S302"/>
      <c r="T302"/>
      <c r="U302"/>
      <c r="V302"/>
      <c r="W302"/>
      <c r="X302"/>
    </row>
    <row r="303" spans="2:24" ht="21.95" customHeight="1" x14ac:dyDescent="0.25">
      <c r="B303" s="184"/>
      <c r="D303" s="64"/>
      <c r="E303" s="65"/>
      <c r="F303" s="68" t="s">
        <v>283</v>
      </c>
      <c r="G303" s="220">
        <v>3</v>
      </c>
      <c r="H303" s="221"/>
      <c r="I303" s="67" t="s">
        <v>0</v>
      </c>
      <c r="J303" s="220">
        <v>1</v>
      </c>
      <c r="K303" s="221"/>
      <c r="L303" s="66" t="s">
        <v>139</v>
      </c>
      <c r="M303" s="65"/>
      <c r="N303" s="57"/>
      <c r="Q303"/>
      <c r="R303"/>
      <c r="S303"/>
      <c r="T303"/>
      <c r="U303"/>
      <c r="V303"/>
      <c r="W303"/>
      <c r="X303"/>
    </row>
    <row r="304" spans="2:24" ht="20.100000000000001" customHeight="1" x14ac:dyDescent="0.25">
      <c r="B304" s="184"/>
      <c r="D304" s="64"/>
      <c r="E304" s="58"/>
      <c r="F304" s="59"/>
      <c r="G304" s="63"/>
      <c r="H304" s="60"/>
      <c r="I304" s="61" t="s">
        <v>380</v>
      </c>
      <c r="J304" s="61"/>
      <c r="K304" s="60"/>
      <c r="L304" s="59"/>
      <c r="M304" s="58"/>
      <c r="N304" s="57"/>
      <c r="Q304"/>
      <c r="R304"/>
      <c r="S304"/>
      <c r="T304"/>
      <c r="U304"/>
      <c r="V304"/>
      <c r="W304"/>
      <c r="X304"/>
    </row>
    <row r="305" spans="2:24" ht="5.0999999999999996" customHeight="1" x14ac:dyDescent="0.25">
      <c r="B305" s="184"/>
      <c r="D305" s="56"/>
      <c r="E305" s="54"/>
      <c r="F305" s="55"/>
      <c r="G305" s="54"/>
      <c r="H305" s="54"/>
      <c r="I305" s="54"/>
      <c r="J305" s="54"/>
      <c r="K305" s="54"/>
      <c r="L305" s="55"/>
      <c r="M305" s="54"/>
      <c r="N305" s="53"/>
      <c r="Q305"/>
      <c r="R305"/>
      <c r="S305"/>
      <c r="T305"/>
      <c r="U305"/>
      <c r="V305"/>
      <c r="W305"/>
      <c r="X305"/>
    </row>
    <row r="306" spans="2:24" ht="21.95" customHeight="1" x14ac:dyDescent="0.25">
      <c r="B306" s="184"/>
      <c r="D306" s="219" t="str">
        <f>TEXT(VLOOKUP(B308,tDatos[],IF(UTCElegido="",3,12),0),"dddd dd mmmm")</f>
        <v>miércoles 24 Junio</v>
      </c>
      <c r="E306" s="219"/>
      <c r="F306" s="219"/>
      <c r="G306" s="219"/>
      <c r="H306" s="219"/>
      <c r="I306" s="219"/>
      <c r="J306" s="219"/>
      <c r="K306" s="219"/>
      <c r="L306" s="219"/>
      <c r="M306" s="219"/>
      <c r="N306" s="219"/>
      <c r="Q306"/>
      <c r="R306"/>
      <c r="S306"/>
      <c r="T306"/>
      <c r="U306"/>
      <c r="V306"/>
      <c r="W306"/>
      <c r="X306"/>
    </row>
    <row r="307" spans="2:24" ht="5.0999999999999996" customHeight="1" x14ac:dyDescent="0.25">
      <c r="B307" s="184"/>
      <c r="D307" s="74"/>
      <c r="E307" s="72"/>
      <c r="F307" s="73"/>
      <c r="G307" s="72"/>
      <c r="H307" s="72"/>
      <c r="I307" s="72"/>
      <c r="J307" s="72"/>
      <c r="K307" s="72"/>
      <c r="L307" s="73"/>
      <c r="M307" s="72"/>
      <c r="N307" s="71"/>
      <c r="Q307"/>
      <c r="R307"/>
      <c r="S307"/>
      <c r="T307"/>
      <c r="U307"/>
      <c r="V307"/>
      <c r="W307"/>
      <c r="X307"/>
    </row>
    <row r="308" spans="2:24" ht="21.95" customHeight="1" x14ac:dyDescent="0.25">
      <c r="B308" s="182">
        <v>51</v>
      </c>
      <c r="C308" s="129">
        <v>49</v>
      </c>
      <c r="D308" s="64"/>
      <c r="E308" s="222">
        <f>VLOOKUP(B308,tDatos[],IF(UTCElegido="",4,12),0)</f>
        <v>0.75</v>
      </c>
      <c r="F308" s="222"/>
      <c r="G308" s="222"/>
      <c r="H308" s="65"/>
      <c r="I308" s="65"/>
      <c r="J308" s="65"/>
      <c r="K308" s="70"/>
      <c r="L308" s="69"/>
      <c r="M308"/>
      <c r="N308" s="57"/>
      <c r="Q308"/>
      <c r="R308"/>
      <c r="S308"/>
      <c r="T308"/>
      <c r="U308"/>
      <c r="V308"/>
      <c r="W308"/>
      <c r="X308"/>
    </row>
    <row r="309" spans="2:24" ht="21.95" customHeight="1" x14ac:dyDescent="0.25">
      <c r="B309" s="184"/>
      <c r="D309" s="64"/>
      <c r="E309" s="65"/>
      <c r="F309" s="68" t="s">
        <v>138</v>
      </c>
      <c r="G309" s="220">
        <v>0</v>
      </c>
      <c r="H309" s="221"/>
      <c r="I309" s="67" t="s">
        <v>0</v>
      </c>
      <c r="J309" s="220">
        <v>3</v>
      </c>
      <c r="K309" s="221"/>
      <c r="L309" s="66" t="s">
        <v>137</v>
      </c>
      <c r="M309" s="65"/>
      <c r="N309" s="57"/>
      <c r="Q309"/>
      <c r="R309"/>
      <c r="S309"/>
      <c r="T309"/>
      <c r="U309"/>
      <c r="V309"/>
      <c r="W309"/>
      <c r="X309"/>
    </row>
    <row r="310" spans="2:24" ht="20.100000000000001" customHeight="1" x14ac:dyDescent="0.25">
      <c r="B310" s="184"/>
      <c r="D310" s="64"/>
      <c r="E310" s="58"/>
      <c r="F310" s="59"/>
      <c r="G310" s="63"/>
      <c r="H310" s="60"/>
      <c r="I310" s="62" t="s">
        <v>381</v>
      </c>
      <c r="J310" s="61"/>
      <c r="K310" s="60"/>
      <c r="L310" s="59"/>
      <c r="M310" s="58"/>
      <c r="N310" s="57"/>
      <c r="Q310"/>
      <c r="R310"/>
      <c r="S310"/>
      <c r="T310"/>
      <c r="U310"/>
      <c r="V310"/>
      <c r="W310"/>
      <c r="X310"/>
    </row>
    <row r="311" spans="2:24" ht="5.0999999999999996" customHeight="1" x14ac:dyDescent="0.25">
      <c r="B311" s="184"/>
      <c r="D311" s="56"/>
      <c r="E311" s="54"/>
      <c r="F311" s="55"/>
      <c r="G311" s="54"/>
      <c r="H311" s="54"/>
      <c r="I311" s="54"/>
      <c r="J311" s="54"/>
      <c r="K311" s="54"/>
      <c r="L311" s="55"/>
      <c r="M311" s="54"/>
      <c r="N311" s="53"/>
      <c r="Q311"/>
      <c r="R311"/>
      <c r="S311"/>
      <c r="T311"/>
      <c r="U311"/>
      <c r="V311"/>
      <c r="W311"/>
      <c r="X311"/>
    </row>
    <row r="312" spans="2:24" ht="21.95" customHeight="1" x14ac:dyDescent="0.25">
      <c r="B312" s="184"/>
      <c r="D312" s="219" t="str">
        <f>TEXT(VLOOKUP(B314,tDatos[],IF(UTCElegido="",3,12),0),"dddd dd mmmm")</f>
        <v>miércoles 24 Junio</v>
      </c>
      <c r="E312" s="219"/>
      <c r="F312" s="219"/>
      <c r="G312" s="219"/>
      <c r="H312" s="219"/>
      <c r="I312" s="219"/>
      <c r="J312" s="219"/>
      <c r="K312" s="219"/>
      <c r="L312" s="219"/>
      <c r="M312" s="219"/>
      <c r="N312" s="219"/>
      <c r="Q312"/>
      <c r="R312"/>
      <c r="S312"/>
      <c r="T312"/>
      <c r="U312"/>
      <c r="V312"/>
      <c r="W312"/>
      <c r="X312"/>
    </row>
    <row r="313" spans="2:24" ht="5.0999999999999996" customHeight="1" x14ac:dyDescent="0.25">
      <c r="B313" s="184"/>
      <c r="D313" s="74"/>
      <c r="E313" s="72"/>
      <c r="F313" s="73"/>
      <c r="G313" s="72"/>
      <c r="H313" s="72"/>
      <c r="I313" s="72"/>
      <c r="J313" s="72"/>
      <c r="K313" s="72"/>
      <c r="L313" s="73"/>
      <c r="M313" s="72"/>
      <c r="N313" s="71"/>
      <c r="Q313"/>
      <c r="R313"/>
      <c r="S313"/>
      <c r="T313"/>
      <c r="U313"/>
      <c r="V313"/>
      <c r="W313"/>
      <c r="X313"/>
    </row>
    <row r="314" spans="2:24" ht="21.95" customHeight="1" x14ac:dyDescent="0.25">
      <c r="B314" s="182">
        <v>52</v>
      </c>
      <c r="C314" s="129">
        <v>50</v>
      </c>
      <c r="D314" s="64"/>
      <c r="E314" s="222">
        <f>VLOOKUP(B314,tDatos[],IF(UTCElegido="",4,12),0)</f>
        <v>0.75</v>
      </c>
      <c r="F314" s="222"/>
      <c r="G314" s="222"/>
      <c r="H314" s="65"/>
      <c r="I314" s="65"/>
      <c r="J314" s="65"/>
      <c r="K314" s="70"/>
      <c r="L314" s="69"/>
      <c r="M314"/>
      <c r="N314" s="57"/>
      <c r="Q314"/>
      <c r="R314"/>
      <c r="S314"/>
      <c r="T314"/>
      <c r="U314"/>
      <c r="V314"/>
      <c r="W314"/>
      <c r="X314"/>
    </row>
    <row r="315" spans="2:24" ht="21.95" customHeight="1" x14ac:dyDescent="0.25">
      <c r="B315" s="184"/>
      <c r="D315" s="64"/>
      <c r="E315" s="65"/>
      <c r="F315" s="68" t="s">
        <v>135</v>
      </c>
      <c r="G315" s="220">
        <v>4</v>
      </c>
      <c r="H315" s="221"/>
      <c r="I315" s="67" t="s">
        <v>0</v>
      </c>
      <c r="J315" s="220">
        <v>2</v>
      </c>
      <c r="K315" s="221"/>
      <c r="L315" s="66" t="s">
        <v>134</v>
      </c>
      <c r="M315" s="65"/>
      <c r="N315" s="57"/>
      <c r="Q315"/>
      <c r="R315"/>
      <c r="S315"/>
      <c r="T315"/>
      <c r="U315"/>
      <c r="V315"/>
      <c r="W315"/>
      <c r="X315"/>
    </row>
    <row r="316" spans="2:24" ht="20.100000000000001" customHeight="1" x14ac:dyDescent="0.25">
      <c r="B316" s="184"/>
      <c r="D316" s="64"/>
      <c r="E316" s="58"/>
      <c r="F316" s="59"/>
      <c r="G316" s="63"/>
      <c r="H316" s="60"/>
      <c r="I316" s="62" t="s">
        <v>379</v>
      </c>
      <c r="J316" s="61"/>
      <c r="K316" s="60"/>
      <c r="L316" s="59"/>
      <c r="M316" s="58"/>
      <c r="N316" s="57"/>
      <c r="Q316"/>
      <c r="R316"/>
      <c r="S316"/>
      <c r="T316"/>
      <c r="U316"/>
      <c r="V316"/>
      <c r="W316"/>
      <c r="X316"/>
    </row>
    <row r="317" spans="2:24" ht="5.0999999999999996" customHeight="1" x14ac:dyDescent="0.25">
      <c r="B317" s="184"/>
      <c r="D317" s="56"/>
      <c r="E317" s="54"/>
      <c r="F317" s="55"/>
      <c r="G317" s="54"/>
      <c r="H317" s="54"/>
      <c r="I317" s="54"/>
      <c r="J317" s="54"/>
      <c r="K317" s="54"/>
      <c r="L317" s="55"/>
      <c r="M317" s="54"/>
      <c r="N317" s="53"/>
      <c r="Q317"/>
      <c r="R317"/>
      <c r="S317"/>
      <c r="T317"/>
      <c r="U317"/>
      <c r="V317"/>
      <c r="W317"/>
      <c r="X317"/>
    </row>
    <row r="318" spans="2:24" ht="21.95" customHeight="1" x14ac:dyDescent="0.25">
      <c r="B318" s="184"/>
      <c r="D318" s="219" t="str">
        <f>TEXT(VLOOKUP(B320,tDatos[],IF(UTCElegido="",3,12),0),"dddd dd mmmm")</f>
        <v>miércoles 24 Junio</v>
      </c>
      <c r="E318" s="219"/>
      <c r="F318" s="219"/>
      <c r="G318" s="219"/>
      <c r="H318" s="219"/>
      <c r="I318" s="219"/>
      <c r="J318" s="219"/>
      <c r="K318" s="219"/>
      <c r="L318" s="219"/>
      <c r="M318" s="219"/>
      <c r="N318" s="219"/>
      <c r="Q318"/>
      <c r="R318"/>
      <c r="S318"/>
      <c r="T318"/>
      <c r="U318"/>
      <c r="V318"/>
      <c r="W318"/>
      <c r="X318"/>
    </row>
    <row r="319" spans="2:24" ht="5.0999999999999996" customHeight="1" x14ac:dyDescent="0.25">
      <c r="B319" s="184"/>
      <c r="D319" s="74"/>
      <c r="E319" s="72"/>
      <c r="F319" s="73"/>
      <c r="G319" s="72"/>
      <c r="H319" s="72"/>
      <c r="I319" s="72"/>
      <c r="J319" s="72"/>
      <c r="K319" s="72"/>
      <c r="L319" s="73"/>
      <c r="M319" s="72"/>
      <c r="N319" s="71"/>
      <c r="Q319"/>
      <c r="R319"/>
      <c r="S319"/>
      <c r="T319"/>
      <c r="U319"/>
      <c r="V319"/>
      <c r="W319"/>
      <c r="X319"/>
    </row>
    <row r="320" spans="2:24" ht="21.95" customHeight="1" x14ac:dyDescent="0.25">
      <c r="B320" s="182">
        <v>53</v>
      </c>
      <c r="C320" s="129">
        <v>53</v>
      </c>
      <c r="D320" s="64"/>
      <c r="E320" s="222">
        <f>VLOOKUP(B320,tDatos[],IF(UTCElegido="",4,12),0)</f>
        <v>0.875</v>
      </c>
      <c r="F320" s="222"/>
      <c r="G320" s="222"/>
      <c r="H320" s="77"/>
      <c r="I320" s="77"/>
      <c r="J320" s="77"/>
      <c r="K320" s="76"/>
      <c r="L320" s="75"/>
      <c r="M320"/>
      <c r="N320" s="57"/>
      <c r="Q320"/>
      <c r="R320"/>
      <c r="S320"/>
      <c r="T320"/>
      <c r="U320"/>
      <c r="V320"/>
      <c r="W320"/>
      <c r="X320"/>
    </row>
    <row r="321" spans="2:24" ht="21.95" customHeight="1" x14ac:dyDescent="0.25">
      <c r="B321" s="184"/>
      <c r="D321" s="64"/>
      <c r="E321" s="65"/>
      <c r="F321" s="68" t="s">
        <v>314</v>
      </c>
      <c r="G321" s="220">
        <v>0</v>
      </c>
      <c r="H321" s="221"/>
      <c r="I321" s="67" t="s">
        <v>0</v>
      </c>
      <c r="J321" s="220">
        <v>3</v>
      </c>
      <c r="K321" s="221"/>
      <c r="L321" s="66" t="s">
        <v>133</v>
      </c>
      <c r="M321" s="65"/>
      <c r="N321" s="57"/>
      <c r="Q321"/>
      <c r="R321"/>
      <c r="S321"/>
      <c r="T321"/>
      <c r="U321"/>
      <c r="V321"/>
      <c r="W321"/>
      <c r="X321"/>
    </row>
    <row r="322" spans="2:24" ht="20.100000000000001" customHeight="1" x14ac:dyDescent="0.25">
      <c r="B322" s="184"/>
      <c r="D322" s="64"/>
      <c r="E322" s="58"/>
      <c r="F322" s="59"/>
      <c r="G322" s="63"/>
      <c r="H322" s="60"/>
      <c r="I322" s="61" t="s">
        <v>366</v>
      </c>
      <c r="J322" s="61"/>
      <c r="K322" s="60"/>
      <c r="L322" s="59"/>
      <c r="M322" s="58"/>
      <c r="N322" s="57"/>
      <c r="Q322"/>
      <c r="R322"/>
      <c r="S322"/>
      <c r="T322"/>
      <c r="U322"/>
      <c r="V322"/>
      <c r="W322"/>
      <c r="X322"/>
    </row>
    <row r="323" spans="2:24" ht="5.0999999999999996" customHeight="1" x14ac:dyDescent="0.25">
      <c r="B323" s="184"/>
      <c r="D323" s="56"/>
      <c r="E323" s="54"/>
      <c r="F323" s="55"/>
      <c r="G323" s="54"/>
      <c r="H323" s="54"/>
      <c r="I323" s="54"/>
      <c r="J323" s="54"/>
      <c r="K323" s="54"/>
      <c r="L323" s="55"/>
      <c r="M323" s="54"/>
      <c r="N323" s="53"/>
      <c r="Q323"/>
      <c r="R323"/>
      <c r="S323"/>
      <c r="T323"/>
      <c r="U323"/>
      <c r="V323"/>
      <c r="W323"/>
      <c r="X323"/>
    </row>
    <row r="324" spans="2:24" ht="21.95" customHeight="1" x14ac:dyDescent="0.25">
      <c r="B324" s="184"/>
      <c r="D324" s="219" t="str">
        <f>TEXT(VLOOKUP(B326,tDatos[],IF(UTCElegido="",3,12),0),"dddd dd mmmm")</f>
        <v>miércoles 24 Junio</v>
      </c>
      <c r="E324" s="219"/>
      <c r="F324" s="219"/>
      <c r="G324" s="219"/>
      <c r="H324" s="219"/>
      <c r="I324" s="219"/>
      <c r="J324" s="219"/>
      <c r="K324" s="219"/>
      <c r="L324" s="219"/>
      <c r="M324" s="219"/>
      <c r="N324" s="219"/>
      <c r="Q324"/>
      <c r="R324"/>
      <c r="S324"/>
      <c r="T324"/>
      <c r="U324"/>
      <c r="V324"/>
      <c r="W324"/>
      <c r="X324"/>
    </row>
    <row r="325" spans="2:24" ht="5.0999999999999996" customHeight="1" x14ac:dyDescent="0.25">
      <c r="B325" s="184"/>
      <c r="D325" s="74"/>
      <c r="E325" s="72"/>
      <c r="F325" s="73"/>
      <c r="G325" s="72"/>
      <c r="H325" s="72"/>
      <c r="I325" s="72"/>
      <c r="J325" s="72"/>
      <c r="K325" s="72"/>
      <c r="L325" s="73"/>
      <c r="M325" s="72"/>
      <c r="N325" s="71"/>
      <c r="Q325"/>
      <c r="R325"/>
      <c r="S325"/>
      <c r="T325"/>
      <c r="U325"/>
      <c r="V325"/>
      <c r="W325"/>
      <c r="X325"/>
    </row>
    <row r="326" spans="2:24" ht="21.95" customHeight="1" x14ac:dyDescent="0.25">
      <c r="B326" s="182">
        <v>54</v>
      </c>
      <c r="C326" s="129">
        <v>54</v>
      </c>
      <c r="D326" s="64"/>
      <c r="E326" s="222">
        <f>VLOOKUP(B326,tDatos[],IF(UTCElegido="",4,12),0)</f>
        <v>0.875</v>
      </c>
      <c r="F326" s="222"/>
      <c r="G326" s="222"/>
      <c r="H326" s="65"/>
      <c r="I326" s="65"/>
      <c r="J326" s="65"/>
      <c r="K326" s="70"/>
      <c r="L326" s="69"/>
      <c r="M326"/>
      <c r="N326" s="57"/>
      <c r="Q326"/>
      <c r="R326"/>
      <c r="S326"/>
      <c r="T326"/>
      <c r="U326"/>
      <c r="V326"/>
      <c r="W326"/>
      <c r="X326"/>
    </row>
    <row r="327" spans="2:24" ht="21.95" customHeight="1" x14ac:dyDescent="0.25">
      <c r="B327" s="184"/>
      <c r="D327" s="64"/>
      <c r="E327" s="65"/>
      <c r="F327" s="68" t="s">
        <v>131</v>
      </c>
      <c r="G327" s="220">
        <v>1</v>
      </c>
      <c r="H327" s="221"/>
      <c r="I327" s="67" t="s">
        <v>0</v>
      </c>
      <c r="J327" s="220">
        <v>0</v>
      </c>
      <c r="K327" s="221"/>
      <c r="L327" s="66" t="s">
        <v>363</v>
      </c>
      <c r="M327" s="65"/>
      <c r="N327" s="57"/>
      <c r="Q327"/>
      <c r="R327"/>
      <c r="S327"/>
      <c r="T327"/>
      <c r="U327"/>
      <c r="V327"/>
      <c r="W327"/>
      <c r="X327"/>
    </row>
    <row r="328" spans="2:24" ht="20.100000000000001" customHeight="1" x14ac:dyDescent="0.25">
      <c r="B328" s="184"/>
      <c r="D328" s="64"/>
      <c r="E328" s="58"/>
      <c r="F328" s="59"/>
      <c r="G328" s="63"/>
      <c r="H328" s="60"/>
      <c r="I328" s="62" t="s">
        <v>378</v>
      </c>
      <c r="J328" s="61"/>
      <c r="K328" s="60"/>
      <c r="L328" s="59"/>
      <c r="M328" s="58"/>
      <c r="N328" s="57"/>
      <c r="Q328"/>
      <c r="R328"/>
      <c r="S328"/>
      <c r="T328"/>
      <c r="U328"/>
      <c r="V328"/>
      <c r="W328"/>
      <c r="X328"/>
    </row>
    <row r="329" spans="2:24" ht="5.0999999999999996" customHeight="1" x14ac:dyDescent="0.25">
      <c r="B329" s="184"/>
      <c r="D329" s="56"/>
      <c r="E329" s="54"/>
      <c r="F329" s="55"/>
      <c r="G329" s="54"/>
      <c r="H329" s="54"/>
      <c r="I329" s="54"/>
      <c r="J329" s="54"/>
      <c r="K329" s="54"/>
      <c r="L329" s="55"/>
      <c r="M329" s="54"/>
      <c r="N329" s="53"/>
      <c r="Q329"/>
      <c r="R329"/>
      <c r="S329"/>
      <c r="T329"/>
      <c r="U329"/>
      <c r="V329"/>
      <c r="W329"/>
      <c r="X329"/>
    </row>
    <row r="330" spans="2:24" ht="21.95" customHeight="1" x14ac:dyDescent="0.25">
      <c r="B330" s="184"/>
      <c r="D330" s="219" t="str">
        <f>TEXT(VLOOKUP(B332,tDatos[],IF(UTCElegido="",3,12),0),"dddd dd mmmm")</f>
        <v>jueves 25 Junio</v>
      </c>
      <c r="E330" s="219"/>
      <c r="F330" s="219"/>
      <c r="G330" s="219"/>
      <c r="H330" s="219"/>
      <c r="I330" s="219"/>
      <c r="J330" s="219"/>
      <c r="K330" s="219"/>
      <c r="L330" s="219"/>
      <c r="M330" s="219"/>
      <c r="N330" s="219"/>
      <c r="Q330"/>
      <c r="R330"/>
      <c r="S330"/>
      <c r="T330"/>
      <c r="U330"/>
      <c r="V330"/>
      <c r="W330"/>
      <c r="X330"/>
    </row>
    <row r="331" spans="2:24" ht="5.0999999999999996" customHeight="1" x14ac:dyDescent="0.25">
      <c r="B331" s="184"/>
      <c r="D331" s="78"/>
      <c r="E331" s="72"/>
      <c r="F331" s="73"/>
      <c r="G331" s="72"/>
      <c r="H331" s="72"/>
      <c r="I331" s="72"/>
      <c r="J331" s="72"/>
      <c r="K331" s="72"/>
      <c r="L331" s="73"/>
      <c r="M331" s="72"/>
      <c r="N331" s="71"/>
      <c r="Q331"/>
      <c r="R331"/>
      <c r="S331"/>
      <c r="T331"/>
      <c r="U331"/>
      <c r="V331"/>
      <c r="W331"/>
      <c r="X331"/>
    </row>
    <row r="332" spans="2:24" ht="21.95" customHeight="1" x14ac:dyDescent="0.25">
      <c r="B332" s="182">
        <v>55</v>
      </c>
      <c r="C332" s="129">
        <v>55</v>
      </c>
      <c r="D332" s="64"/>
      <c r="E332" s="222">
        <f>VLOOKUP(B332,tDatos[],IF(UTCElegido="",4,12),0)</f>
        <v>0.66666666666666663</v>
      </c>
      <c r="F332" s="222"/>
      <c r="G332" s="222"/>
      <c r="H332" s="77"/>
      <c r="I332" s="77"/>
      <c r="J332" s="77"/>
      <c r="K332" s="76"/>
      <c r="L332" s="75"/>
      <c r="M332"/>
      <c r="N332" s="57"/>
      <c r="Q332"/>
      <c r="R332"/>
      <c r="S332"/>
      <c r="T332"/>
      <c r="U332"/>
      <c r="V332"/>
      <c r="W332"/>
      <c r="X332"/>
    </row>
    <row r="333" spans="2:24" ht="21.95" customHeight="1" x14ac:dyDescent="0.25">
      <c r="B333" s="184"/>
      <c r="D333" s="64"/>
      <c r="E333" s="65"/>
      <c r="F333" s="68" t="s">
        <v>129</v>
      </c>
      <c r="G333" s="220">
        <v>0</v>
      </c>
      <c r="H333" s="221"/>
      <c r="I333" s="67" t="s">
        <v>0</v>
      </c>
      <c r="J333" s="220">
        <v>2</v>
      </c>
      <c r="K333" s="221"/>
      <c r="L333" s="66" t="s">
        <v>195</v>
      </c>
      <c r="M333" s="65"/>
      <c r="N333" s="57"/>
      <c r="Q333"/>
      <c r="R333"/>
      <c r="S333"/>
      <c r="T333"/>
      <c r="U333"/>
      <c r="V333"/>
      <c r="W333"/>
      <c r="X333"/>
    </row>
    <row r="334" spans="2:24" ht="20.100000000000001" customHeight="1" x14ac:dyDescent="0.25">
      <c r="B334" s="184"/>
      <c r="D334" s="64"/>
      <c r="E334" s="58"/>
      <c r="F334" s="59"/>
      <c r="G334" s="63"/>
      <c r="H334" s="60"/>
      <c r="I334" s="61" t="s">
        <v>377</v>
      </c>
      <c r="J334" s="61"/>
      <c r="K334" s="60"/>
      <c r="L334" s="59"/>
      <c r="M334" s="58"/>
      <c r="N334" s="57"/>
      <c r="Q334"/>
      <c r="R334"/>
      <c r="S334"/>
      <c r="T334"/>
      <c r="U334"/>
      <c r="V334"/>
      <c r="W334"/>
      <c r="X334"/>
    </row>
    <row r="335" spans="2:24" ht="5.0999999999999996" customHeight="1" x14ac:dyDescent="0.25">
      <c r="B335" s="184"/>
      <c r="D335" s="56"/>
      <c r="E335" s="54"/>
      <c r="F335" s="55"/>
      <c r="G335" s="54"/>
      <c r="H335" s="54"/>
      <c r="I335" s="54"/>
      <c r="J335" s="54"/>
      <c r="K335" s="54"/>
      <c r="L335" s="55"/>
      <c r="M335" s="54"/>
      <c r="N335" s="53"/>
      <c r="Q335"/>
      <c r="R335"/>
      <c r="S335"/>
      <c r="T335"/>
      <c r="U335"/>
      <c r="V335"/>
      <c r="W335"/>
      <c r="X335"/>
    </row>
    <row r="336" spans="2:24" ht="21.95" customHeight="1" x14ac:dyDescent="0.25">
      <c r="B336" s="184"/>
      <c r="D336" s="219" t="str">
        <f>TEXT(VLOOKUP(B338,tDatos[],IF(UTCElegido="",3,12),0),"dddd dd mmmm")</f>
        <v>jueves 25 Junio</v>
      </c>
      <c r="E336" s="219"/>
      <c r="F336" s="219"/>
      <c r="G336" s="219"/>
      <c r="H336" s="219"/>
      <c r="I336" s="219"/>
      <c r="J336" s="219"/>
      <c r="K336" s="219"/>
      <c r="L336" s="219"/>
      <c r="M336" s="219"/>
      <c r="N336" s="219"/>
      <c r="Q336"/>
      <c r="R336"/>
      <c r="S336"/>
      <c r="T336"/>
      <c r="U336"/>
      <c r="V336"/>
      <c r="W336"/>
      <c r="X336"/>
    </row>
    <row r="337" spans="2:24" ht="5.0999999999999996" customHeight="1" x14ac:dyDescent="0.25">
      <c r="B337" s="184"/>
      <c r="D337" s="74"/>
      <c r="E337" s="72"/>
      <c r="F337" s="73"/>
      <c r="G337" s="72"/>
      <c r="H337" s="72"/>
      <c r="I337" s="72"/>
      <c r="J337" s="72"/>
      <c r="K337" s="72"/>
      <c r="L337" s="73"/>
      <c r="M337" s="72"/>
      <c r="N337" s="71"/>
      <c r="Q337"/>
      <c r="R337"/>
      <c r="S337"/>
      <c r="T337"/>
      <c r="U337"/>
      <c r="V337"/>
      <c r="W337"/>
      <c r="X337"/>
    </row>
    <row r="338" spans="2:24" ht="21.95" customHeight="1" x14ac:dyDescent="0.25">
      <c r="B338" s="182">
        <v>56</v>
      </c>
      <c r="C338" s="129">
        <v>56</v>
      </c>
      <c r="D338" s="64"/>
      <c r="E338" s="222">
        <f>VLOOKUP(B338,tDatos[],IF(UTCElegido="",4,12),0)</f>
        <v>0.66666666666666663</v>
      </c>
      <c r="F338" s="222"/>
      <c r="G338" s="222"/>
      <c r="H338" s="65"/>
      <c r="I338" s="65"/>
      <c r="J338" s="65"/>
      <c r="K338" s="70"/>
      <c r="L338" s="69"/>
      <c r="M338"/>
      <c r="N338" s="57"/>
      <c r="Q338"/>
      <c r="R338"/>
      <c r="S338"/>
      <c r="T338"/>
      <c r="U338"/>
      <c r="V338"/>
      <c r="W338"/>
      <c r="X338"/>
    </row>
    <row r="339" spans="2:24" ht="21.95" customHeight="1" x14ac:dyDescent="0.25">
      <c r="B339" s="184"/>
      <c r="D339" s="64"/>
      <c r="E339" s="65"/>
      <c r="F339" s="68" t="s">
        <v>127</v>
      </c>
      <c r="G339" s="220">
        <v>2</v>
      </c>
      <c r="H339" s="221"/>
      <c r="I339" s="67" t="s">
        <v>0</v>
      </c>
      <c r="J339" s="220">
        <v>1</v>
      </c>
      <c r="K339" s="221"/>
      <c r="L339" s="66" t="s">
        <v>126</v>
      </c>
      <c r="M339" s="65"/>
      <c r="N339" s="57"/>
      <c r="Q339"/>
      <c r="R339"/>
      <c r="S339"/>
      <c r="T339"/>
      <c r="U339"/>
      <c r="V339"/>
      <c r="W339"/>
      <c r="X339"/>
    </row>
    <row r="340" spans="2:24" ht="20.100000000000001" customHeight="1" x14ac:dyDescent="0.25">
      <c r="B340" s="184"/>
      <c r="D340" s="64"/>
      <c r="E340" s="58"/>
      <c r="F340" s="59"/>
      <c r="G340" s="63"/>
      <c r="H340" s="60"/>
      <c r="I340" s="62" t="s">
        <v>370</v>
      </c>
      <c r="J340" s="61"/>
      <c r="K340" s="60"/>
      <c r="L340" s="59"/>
      <c r="M340" s="58"/>
      <c r="N340" s="57"/>
      <c r="Q340"/>
      <c r="R340"/>
      <c r="S340"/>
      <c r="T340"/>
      <c r="U340"/>
      <c r="V340"/>
      <c r="W340"/>
      <c r="X340"/>
    </row>
    <row r="341" spans="2:24" ht="5.0999999999999996" customHeight="1" x14ac:dyDescent="0.25">
      <c r="B341" s="184"/>
      <c r="D341" s="56"/>
      <c r="E341" s="54"/>
      <c r="F341" s="55"/>
      <c r="G341" s="80"/>
      <c r="H341" s="54"/>
      <c r="I341" s="54"/>
      <c r="J341" s="54"/>
      <c r="K341" s="54"/>
      <c r="L341" s="55"/>
      <c r="M341" s="54"/>
      <c r="N341" s="53"/>
      <c r="Q341"/>
      <c r="R341"/>
      <c r="S341"/>
      <c r="T341"/>
      <c r="U341"/>
      <c r="V341"/>
      <c r="W341"/>
      <c r="X341"/>
    </row>
    <row r="342" spans="2:24" ht="21.95" customHeight="1" x14ac:dyDescent="0.25">
      <c r="B342" s="184"/>
      <c r="D342" s="219" t="str">
        <f>TEXT(VLOOKUP(B344,tDatos[],IF(UTCElegido="",3,12),0),"dddd dd mmmm")</f>
        <v>jueves 25 Junio</v>
      </c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Q342"/>
      <c r="R342"/>
      <c r="S342"/>
      <c r="T342"/>
      <c r="U342"/>
      <c r="V342"/>
      <c r="W342"/>
      <c r="X342"/>
    </row>
    <row r="343" spans="2:24" ht="5.0999999999999996" customHeight="1" x14ac:dyDescent="0.25">
      <c r="B343" s="184"/>
      <c r="D343" s="74"/>
      <c r="E343" s="72"/>
      <c r="F343" s="73"/>
      <c r="G343" s="72"/>
      <c r="H343" s="72"/>
      <c r="I343" s="72"/>
      <c r="J343" s="72"/>
      <c r="K343" s="72"/>
      <c r="L343" s="73"/>
      <c r="M343" s="72"/>
      <c r="N343" s="71"/>
      <c r="Q343"/>
      <c r="R343"/>
      <c r="S343"/>
      <c r="T343"/>
      <c r="U343"/>
      <c r="V343"/>
      <c r="W343"/>
      <c r="X343"/>
    </row>
    <row r="344" spans="2:24" ht="21.95" customHeight="1" x14ac:dyDescent="0.25">
      <c r="B344" s="182">
        <v>57</v>
      </c>
      <c r="C344" s="129">
        <v>57</v>
      </c>
      <c r="D344" s="64"/>
      <c r="E344" s="222">
        <f>VLOOKUP(B344,tDatos[],IF(UTCElegido="",4,12),0)</f>
        <v>0.79166666666666663</v>
      </c>
      <c r="F344" s="222"/>
      <c r="G344" s="222"/>
      <c r="H344" s="65"/>
      <c r="I344" s="65"/>
      <c r="J344" s="65"/>
      <c r="K344" s="70"/>
      <c r="L344" s="69"/>
      <c r="M344"/>
      <c r="N344" s="57"/>
      <c r="Q344"/>
      <c r="R344"/>
      <c r="S344"/>
      <c r="T344"/>
      <c r="U344"/>
      <c r="V344"/>
      <c r="W344"/>
      <c r="X344"/>
    </row>
    <row r="345" spans="2:24" ht="21.95" customHeight="1" x14ac:dyDescent="0.25">
      <c r="B345" s="184"/>
      <c r="D345" s="64"/>
      <c r="E345" s="65"/>
      <c r="F345" s="68" t="s">
        <v>125</v>
      </c>
      <c r="G345" s="220">
        <v>1</v>
      </c>
      <c r="H345" s="221"/>
      <c r="I345" s="67" t="s">
        <v>0</v>
      </c>
      <c r="J345" s="220">
        <v>1</v>
      </c>
      <c r="K345" s="221"/>
      <c r="L345" s="66" t="s">
        <v>282</v>
      </c>
      <c r="M345" s="65"/>
      <c r="N345" s="57"/>
      <c r="Q345"/>
      <c r="R345"/>
      <c r="S345"/>
      <c r="T345"/>
      <c r="U345"/>
      <c r="V345"/>
      <c r="W345"/>
      <c r="X345"/>
    </row>
    <row r="346" spans="2:24" ht="20.100000000000001" customHeight="1" x14ac:dyDescent="0.25">
      <c r="B346" s="184"/>
      <c r="D346" s="64"/>
      <c r="E346" s="58"/>
      <c r="F346" s="59"/>
      <c r="G346" s="63"/>
      <c r="H346" s="60"/>
      <c r="I346" s="62" t="s">
        <v>376</v>
      </c>
      <c r="J346" s="61"/>
      <c r="K346" s="60"/>
      <c r="L346" s="59"/>
      <c r="M346" s="58"/>
      <c r="N346" s="57"/>
      <c r="Q346"/>
      <c r="R346"/>
      <c r="S346"/>
      <c r="T346"/>
      <c r="U346"/>
      <c r="V346"/>
      <c r="W346"/>
      <c r="X346"/>
    </row>
    <row r="347" spans="2:24" ht="5.0999999999999996" customHeight="1" x14ac:dyDescent="0.25">
      <c r="B347" s="184"/>
      <c r="D347" s="56"/>
      <c r="E347" s="54"/>
      <c r="F347" s="55"/>
      <c r="G347" s="54"/>
      <c r="H347" s="54"/>
      <c r="I347" s="54"/>
      <c r="J347" s="54"/>
      <c r="K347" s="54"/>
      <c r="L347" s="55"/>
      <c r="M347" s="54"/>
      <c r="N347" s="53"/>
      <c r="Q347"/>
      <c r="R347"/>
      <c r="S347"/>
      <c r="T347"/>
      <c r="U347"/>
      <c r="V347"/>
      <c r="W347"/>
      <c r="X347"/>
    </row>
    <row r="348" spans="2:24" ht="21.95" customHeight="1" x14ac:dyDescent="0.25">
      <c r="B348" s="184"/>
      <c r="D348" s="219" t="str">
        <f>TEXT(VLOOKUP(B350,tDatos[],IF(UTCElegido="",3,12),0),"dddd dd mmmm")</f>
        <v>jueves 25 Junio</v>
      </c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Q348"/>
      <c r="R348"/>
      <c r="S348"/>
      <c r="T348"/>
      <c r="U348"/>
      <c r="V348"/>
      <c r="W348"/>
      <c r="X348"/>
    </row>
    <row r="349" spans="2:24" ht="5.0999999999999996" customHeight="1" x14ac:dyDescent="0.25">
      <c r="B349" s="184"/>
      <c r="D349" s="74"/>
      <c r="E349" s="72"/>
      <c r="F349" s="73"/>
      <c r="G349" s="72"/>
      <c r="H349" s="72"/>
      <c r="I349" s="72"/>
      <c r="J349" s="72"/>
      <c r="K349" s="72"/>
      <c r="L349" s="73"/>
      <c r="M349" s="72"/>
      <c r="N349" s="71"/>
      <c r="Q349"/>
      <c r="R349"/>
      <c r="S349"/>
      <c r="T349"/>
      <c r="U349"/>
      <c r="V349"/>
      <c r="W349"/>
      <c r="X349"/>
    </row>
    <row r="350" spans="2:24" ht="21.95" customHeight="1" x14ac:dyDescent="0.25">
      <c r="B350" s="182">
        <v>58</v>
      </c>
      <c r="C350" s="129">
        <v>58</v>
      </c>
      <c r="D350" s="64"/>
      <c r="E350" s="222">
        <f>VLOOKUP(B350,tDatos[],IF(UTCElegido="",4,12),0)</f>
        <v>0.79166666666666663</v>
      </c>
      <c r="F350" s="222"/>
      <c r="G350" s="222"/>
      <c r="H350" s="65"/>
      <c r="I350" s="65"/>
      <c r="J350" s="65"/>
      <c r="K350" s="70"/>
      <c r="L350" s="69"/>
      <c r="M350"/>
      <c r="N350" s="57"/>
      <c r="Q350"/>
      <c r="R350"/>
      <c r="S350"/>
      <c r="T350"/>
      <c r="U350"/>
      <c r="V350"/>
      <c r="W350"/>
      <c r="X350"/>
    </row>
    <row r="351" spans="2:24" ht="21.95" customHeight="1" x14ac:dyDescent="0.25">
      <c r="B351" s="184"/>
      <c r="D351" s="64"/>
      <c r="E351" s="65"/>
      <c r="F351" s="68" t="s">
        <v>123</v>
      </c>
      <c r="G351" s="220">
        <v>1</v>
      </c>
      <c r="H351" s="221"/>
      <c r="I351" s="67" t="s">
        <v>0</v>
      </c>
      <c r="J351" s="220">
        <v>3</v>
      </c>
      <c r="K351" s="221"/>
      <c r="L351" s="66" t="s">
        <v>122</v>
      </c>
      <c r="M351" s="65"/>
      <c r="N351" s="57"/>
      <c r="Q351"/>
      <c r="R351"/>
      <c r="S351"/>
      <c r="T351"/>
      <c r="U351"/>
      <c r="V351"/>
      <c r="W351"/>
      <c r="X351"/>
    </row>
    <row r="352" spans="2:24" ht="20.100000000000001" customHeight="1" x14ac:dyDescent="0.25">
      <c r="B352" s="184"/>
      <c r="D352" s="64"/>
      <c r="E352" s="58"/>
      <c r="F352" s="59"/>
      <c r="G352" s="63"/>
      <c r="H352" s="60"/>
      <c r="I352" s="62" t="s">
        <v>382</v>
      </c>
      <c r="J352" s="61"/>
      <c r="K352" s="60"/>
      <c r="L352" s="59"/>
      <c r="M352" s="58"/>
      <c r="N352" s="57"/>
      <c r="Q352"/>
      <c r="R352"/>
      <c r="S352"/>
      <c r="T352"/>
      <c r="U352"/>
      <c r="V352"/>
      <c r="W352"/>
      <c r="X352"/>
    </row>
    <row r="353" spans="2:24" ht="5.0999999999999996" customHeight="1" x14ac:dyDescent="0.25">
      <c r="B353" s="184"/>
      <c r="D353" s="56"/>
      <c r="E353" s="54"/>
      <c r="F353" s="55"/>
      <c r="G353" s="54"/>
      <c r="H353" s="54"/>
      <c r="I353" s="54"/>
      <c r="J353" s="54"/>
      <c r="K353" s="54"/>
      <c r="L353" s="55"/>
      <c r="M353" s="54"/>
      <c r="N353" s="53"/>
      <c r="Q353"/>
      <c r="R353"/>
      <c r="S353"/>
      <c r="T353"/>
      <c r="U353"/>
      <c r="V353"/>
      <c r="W353"/>
      <c r="X353"/>
    </row>
    <row r="354" spans="2:24" ht="21.95" customHeight="1" x14ac:dyDescent="0.25">
      <c r="B354" s="184"/>
      <c r="D354" s="219" t="str">
        <f>TEXT(VLOOKUP(B356,tDatos[],IF(UTCElegido="",3,12),0),"dddd dd mmmm")</f>
        <v>jueves 25 Junio</v>
      </c>
      <c r="E354" s="219"/>
      <c r="F354" s="219"/>
      <c r="G354" s="219"/>
      <c r="H354" s="219"/>
      <c r="I354" s="219"/>
      <c r="J354" s="219"/>
      <c r="K354" s="219"/>
      <c r="L354" s="219"/>
      <c r="M354" s="219"/>
      <c r="N354" s="219"/>
      <c r="Q354"/>
      <c r="R354"/>
      <c r="S354"/>
      <c r="T354"/>
      <c r="U354"/>
      <c r="V354"/>
      <c r="W354"/>
      <c r="X354"/>
    </row>
    <row r="355" spans="2:24" ht="5.0999999999999996" customHeight="1" x14ac:dyDescent="0.25">
      <c r="B355" s="184"/>
      <c r="D355" s="74"/>
      <c r="E355" s="72"/>
      <c r="F355" s="73"/>
      <c r="G355" s="72"/>
      <c r="H355" s="72"/>
      <c r="I355" s="72"/>
      <c r="J355" s="72"/>
      <c r="K355" s="72"/>
      <c r="L355" s="73"/>
      <c r="M355" s="72"/>
      <c r="N355" s="71"/>
      <c r="Q355"/>
      <c r="R355"/>
      <c r="S355"/>
      <c r="T355"/>
      <c r="U355"/>
      <c r="V355"/>
      <c r="W355"/>
      <c r="X355"/>
    </row>
    <row r="356" spans="2:24" ht="21.95" customHeight="1" x14ac:dyDescent="0.25">
      <c r="B356" s="182">
        <v>59</v>
      </c>
      <c r="C356" s="129">
        <v>59</v>
      </c>
      <c r="D356" s="64"/>
      <c r="E356" s="222">
        <f>VLOOKUP(B356,tDatos[],IF(UTCElegido="",4,12),0)</f>
        <v>0.91666666666666663</v>
      </c>
      <c r="F356" s="222"/>
      <c r="G356" s="222"/>
      <c r="H356" s="77"/>
      <c r="I356" s="77"/>
      <c r="J356" s="77"/>
      <c r="K356" s="76"/>
      <c r="L356" s="75"/>
      <c r="M356"/>
      <c r="N356" s="57"/>
      <c r="Q356"/>
      <c r="R356"/>
      <c r="S356"/>
      <c r="T356"/>
      <c r="U356"/>
      <c r="V356"/>
      <c r="W356"/>
      <c r="X356"/>
    </row>
    <row r="357" spans="2:24" ht="21.95" customHeight="1" x14ac:dyDescent="0.25">
      <c r="B357" s="184"/>
      <c r="D357" s="64"/>
      <c r="E357" s="65"/>
      <c r="F357" s="68" t="s">
        <v>281</v>
      </c>
      <c r="G357" s="220">
        <v>3</v>
      </c>
      <c r="H357" s="221"/>
      <c r="I357" s="67" t="s">
        <v>0</v>
      </c>
      <c r="J357" s="220">
        <v>2</v>
      </c>
      <c r="K357" s="221"/>
      <c r="L357" s="66" t="s">
        <v>298</v>
      </c>
      <c r="M357" s="65"/>
      <c r="N357" s="57"/>
      <c r="Q357"/>
      <c r="R357"/>
      <c r="S357"/>
      <c r="T357"/>
      <c r="U357"/>
      <c r="V357"/>
      <c r="W357"/>
      <c r="X357"/>
    </row>
    <row r="358" spans="2:24" ht="20.100000000000001" customHeight="1" x14ac:dyDescent="0.25">
      <c r="B358" s="184"/>
      <c r="D358" s="64"/>
      <c r="E358" s="58"/>
      <c r="F358" s="59"/>
      <c r="G358" s="63"/>
      <c r="H358" s="60"/>
      <c r="I358" s="61" t="s">
        <v>369</v>
      </c>
      <c r="J358" s="61"/>
      <c r="K358" s="60"/>
      <c r="L358" s="59"/>
      <c r="M358" s="58"/>
      <c r="N358" s="57"/>
      <c r="Q358"/>
      <c r="R358"/>
      <c r="S358"/>
      <c r="T358"/>
      <c r="U358"/>
      <c r="V358"/>
      <c r="W358"/>
      <c r="X358"/>
    </row>
    <row r="359" spans="2:24" ht="5.0999999999999996" customHeight="1" x14ac:dyDescent="0.25">
      <c r="B359" s="184"/>
      <c r="D359" s="56"/>
      <c r="E359" s="54"/>
      <c r="F359" s="55"/>
      <c r="G359" s="54"/>
      <c r="H359" s="54"/>
      <c r="I359" s="54"/>
      <c r="J359" s="54"/>
      <c r="K359" s="54"/>
      <c r="L359" s="55"/>
      <c r="M359" s="54"/>
      <c r="N359" s="53"/>
      <c r="Q359"/>
      <c r="R359"/>
      <c r="S359"/>
      <c r="T359"/>
      <c r="U359"/>
      <c r="V359"/>
      <c r="W359"/>
      <c r="X359"/>
    </row>
    <row r="360" spans="2:24" ht="21.95" customHeight="1" x14ac:dyDescent="0.25">
      <c r="B360" s="184"/>
      <c r="D360" s="219" t="str">
        <f>TEXT(VLOOKUP(B362,tDatos[],IF(UTCElegido="",3,12),0),"dddd dd mmmm")</f>
        <v>jueves 25 Junio</v>
      </c>
      <c r="E360" s="219"/>
      <c r="F360" s="219"/>
      <c r="G360" s="219"/>
      <c r="H360" s="219"/>
      <c r="I360" s="219"/>
      <c r="J360" s="219"/>
      <c r="K360" s="219"/>
      <c r="L360" s="219"/>
      <c r="M360" s="219"/>
      <c r="N360" s="219"/>
      <c r="Q360"/>
      <c r="R360"/>
      <c r="S360"/>
      <c r="T360"/>
      <c r="U360"/>
      <c r="V360"/>
      <c r="W360"/>
      <c r="X360"/>
    </row>
    <row r="361" spans="2:24" ht="5.0999999999999996" customHeight="1" x14ac:dyDescent="0.25">
      <c r="B361" s="184"/>
      <c r="D361" s="74"/>
      <c r="E361" s="72"/>
      <c r="F361" s="73"/>
      <c r="G361" s="72"/>
      <c r="H361" s="72"/>
      <c r="I361" s="72"/>
      <c r="J361" s="72"/>
      <c r="K361" s="72"/>
      <c r="L361" s="73"/>
      <c r="M361" s="72"/>
      <c r="N361" s="71"/>
      <c r="Q361"/>
      <c r="R361"/>
      <c r="S361"/>
      <c r="T361"/>
      <c r="U361"/>
      <c r="V361"/>
      <c r="W361"/>
      <c r="X361"/>
    </row>
    <row r="362" spans="2:24" ht="21.95" customHeight="1" x14ac:dyDescent="0.25">
      <c r="B362" s="182">
        <v>60</v>
      </c>
      <c r="C362" s="129">
        <v>60</v>
      </c>
      <c r="D362" s="64"/>
      <c r="E362" s="222">
        <f>VLOOKUP(B362,tDatos[],IF(UTCElegido="",4,12),0)</f>
        <v>0.91666666666666663</v>
      </c>
      <c r="F362" s="222"/>
      <c r="G362" s="222"/>
      <c r="H362" s="65"/>
      <c r="I362" s="65"/>
      <c r="J362" s="65"/>
      <c r="K362" s="70"/>
      <c r="L362" s="69"/>
      <c r="M362"/>
      <c r="N362" s="57"/>
      <c r="Q362"/>
      <c r="R362"/>
      <c r="S362"/>
      <c r="T362"/>
      <c r="U362"/>
      <c r="V362"/>
      <c r="W362"/>
      <c r="X362"/>
    </row>
    <row r="363" spans="2:24" ht="21.95" customHeight="1" x14ac:dyDescent="0.25">
      <c r="B363" s="184"/>
      <c r="D363" s="64"/>
      <c r="E363" s="65"/>
      <c r="F363" s="68" t="s">
        <v>120</v>
      </c>
      <c r="G363" s="220">
        <v>0</v>
      </c>
      <c r="H363" s="221"/>
      <c r="I363" s="67" t="s">
        <v>0</v>
      </c>
      <c r="J363" s="220">
        <v>0</v>
      </c>
      <c r="K363" s="221"/>
      <c r="L363" s="66" t="s">
        <v>119</v>
      </c>
      <c r="M363" s="65"/>
      <c r="N363" s="57"/>
      <c r="Q363"/>
      <c r="R363"/>
      <c r="S363"/>
      <c r="T363"/>
      <c r="U363"/>
      <c r="V363"/>
      <c r="W363"/>
      <c r="X363"/>
    </row>
    <row r="364" spans="2:24" ht="20.100000000000001" customHeight="1" x14ac:dyDescent="0.25">
      <c r="B364" s="184"/>
      <c r="D364" s="64"/>
      <c r="E364" s="58"/>
      <c r="F364" s="59"/>
      <c r="G364" s="63"/>
      <c r="H364" s="60"/>
      <c r="I364" s="62" t="s">
        <v>374</v>
      </c>
      <c r="J364" s="79"/>
      <c r="K364" s="60"/>
      <c r="L364" s="59"/>
      <c r="M364" s="58"/>
      <c r="N364" s="57"/>
      <c r="Q364"/>
      <c r="R364"/>
      <c r="S364"/>
      <c r="T364"/>
      <c r="U364"/>
      <c r="V364"/>
      <c r="W364"/>
      <c r="X364"/>
    </row>
    <row r="365" spans="2:24" ht="5.0999999999999996" customHeight="1" x14ac:dyDescent="0.25">
      <c r="B365" s="184"/>
      <c r="D365" s="56"/>
      <c r="E365" s="54"/>
      <c r="F365" s="55"/>
      <c r="G365" s="54"/>
      <c r="H365" s="54"/>
      <c r="I365" s="54"/>
      <c r="J365" s="54"/>
      <c r="K365" s="54"/>
      <c r="L365" s="55"/>
      <c r="M365" s="54"/>
      <c r="N365" s="53"/>
      <c r="Q365"/>
      <c r="R365"/>
      <c r="S365"/>
      <c r="T365"/>
      <c r="U365"/>
      <c r="V365"/>
      <c r="W365"/>
      <c r="X365"/>
    </row>
    <row r="366" spans="2:24" ht="21.95" customHeight="1" x14ac:dyDescent="0.25">
      <c r="B366" s="184"/>
      <c r="D366" s="219" t="str">
        <f>TEXT(VLOOKUP(B368,tDatos[],IF(UTCElegido="",3,12),0),"dddd dd mmmm")</f>
        <v>viernes 26 Junio</v>
      </c>
      <c r="E366" s="219"/>
      <c r="F366" s="219"/>
      <c r="G366" s="219"/>
      <c r="H366" s="219"/>
      <c r="I366" s="219"/>
      <c r="J366" s="219"/>
      <c r="K366" s="219"/>
      <c r="L366" s="219"/>
      <c r="M366" s="219"/>
      <c r="N366" s="219"/>
      <c r="Q366"/>
      <c r="R366"/>
      <c r="S366"/>
      <c r="T366"/>
      <c r="U366"/>
      <c r="V366"/>
      <c r="W366"/>
      <c r="X366"/>
    </row>
    <row r="367" spans="2:24" ht="5.0999999999999996" customHeight="1" x14ac:dyDescent="0.25">
      <c r="B367" s="184"/>
      <c r="D367" s="78"/>
      <c r="E367" s="72"/>
      <c r="F367" s="73"/>
      <c r="G367" s="72"/>
      <c r="H367" s="72"/>
      <c r="I367" s="72"/>
      <c r="J367" s="72"/>
      <c r="K367" s="72"/>
      <c r="L367" s="73"/>
      <c r="M367" s="72"/>
      <c r="N367" s="71"/>
      <c r="Q367"/>
      <c r="R367"/>
      <c r="S367"/>
      <c r="T367"/>
      <c r="U367"/>
      <c r="V367"/>
      <c r="W367"/>
      <c r="X367"/>
    </row>
    <row r="368" spans="2:24" ht="21.95" customHeight="1" x14ac:dyDescent="0.25">
      <c r="B368" s="182">
        <v>61</v>
      </c>
      <c r="C368" s="129">
        <v>61</v>
      </c>
      <c r="D368" s="64"/>
      <c r="E368" s="222">
        <f>VLOOKUP(B368,tDatos[],IF(UTCElegido="",4,12),0)</f>
        <v>0.625</v>
      </c>
      <c r="F368" s="222"/>
      <c r="G368" s="222"/>
      <c r="H368" s="77"/>
      <c r="I368" s="77"/>
      <c r="J368" s="77"/>
      <c r="K368" s="76"/>
      <c r="L368" s="75"/>
      <c r="M368"/>
      <c r="N368" s="57"/>
      <c r="Q368"/>
      <c r="R368"/>
      <c r="S368"/>
      <c r="T368"/>
      <c r="U368"/>
      <c r="V368"/>
      <c r="W368"/>
      <c r="X368"/>
    </row>
    <row r="369" spans="2:24" ht="21.95" customHeight="1" x14ac:dyDescent="0.25">
      <c r="B369" s="184"/>
      <c r="D369" s="64"/>
      <c r="E369" s="65"/>
      <c r="F369" s="68" t="s">
        <v>117</v>
      </c>
      <c r="G369" s="220">
        <v>1</v>
      </c>
      <c r="H369" s="221"/>
      <c r="I369" s="67" t="s">
        <v>0</v>
      </c>
      <c r="J369" s="220">
        <v>4</v>
      </c>
      <c r="K369" s="221"/>
      <c r="L369" s="66" t="s">
        <v>116</v>
      </c>
      <c r="M369" s="65"/>
      <c r="N369" s="57"/>
      <c r="Q369"/>
      <c r="R369"/>
      <c r="S369"/>
      <c r="T369"/>
      <c r="U369"/>
      <c r="V369"/>
      <c r="W369"/>
      <c r="X369"/>
    </row>
    <row r="370" spans="2:24" ht="20.100000000000001" customHeight="1" x14ac:dyDescent="0.25">
      <c r="B370" s="184"/>
      <c r="D370" s="64"/>
      <c r="E370" s="58"/>
      <c r="F370" s="59"/>
      <c r="G370" s="63"/>
      <c r="H370" s="60"/>
      <c r="I370" s="61" t="s">
        <v>371</v>
      </c>
      <c r="J370" s="61"/>
      <c r="K370" s="60"/>
      <c r="L370" s="59"/>
      <c r="M370" s="58"/>
      <c r="N370" s="57"/>
      <c r="Q370"/>
      <c r="R370"/>
      <c r="S370"/>
      <c r="T370"/>
      <c r="U370"/>
      <c r="V370"/>
      <c r="W370"/>
      <c r="X370"/>
    </row>
    <row r="371" spans="2:24" ht="5.0999999999999996" customHeight="1" x14ac:dyDescent="0.25">
      <c r="B371" s="184"/>
      <c r="D371" s="56"/>
      <c r="E371" s="54"/>
      <c r="F371" s="55"/>
      <c r="G371" s="54"/>
      <c r="H371" s="54"/>
      <c r="I371" s="54"/>
      <c r="J371" s="54"/>
      <c r="K371" s="54"/>
      <c r="L371" s="55"/>
      <c r="M371" s="54"/>
      <c r="N371" s="53"/>
      <c r="Q371"/>
      <c r="R371"/>
      <c r="S371"/>
      <c r="T371"/>
      <c r="U371"/>
      <c r="V371"/>
      <c r="W371"/>
      <c r="X371"/>
    </row>
    <row r="372" spans="2:24" ht="21.95" customHeight="1" x14ac:dyDescent="0.25">
      <c r="B372" s="184"/>
      <c r="D372" s="219" t="str">
        <f>TEXT(VLOOKUP(B374,tDatos[],IF(UTCElegido="",3,12),0),"dddd dd mmmm")</f>
        <v>viernes 26 Junio</v>
      </c>
      <c r="E372" s="219"/>
      <c r="F372" s="219"/>
      <c r="G372" s="219"/>
      <c r="H372" s="219"/>
      <c r="I372" s="219"/>
      <c r="J372" s="219"/>
      <c r="K372" s="219"/>
      <c r="L372" s="219"/>
      <c r="M372" s="219"/>
      <c r="N372" s="219"/>
      <c r="Q372"/>
      <c r="R372"/>
      <c r="S372"/>
      <c r="T372"/>
      <c r="U372"/>
      <c r="V372"/>
      <c r="W372"/>
      <c r="X372"/>
    </row>
    <row r="373" spans="2:24" ht="5.0999999999999996" customHeight="1" x14ac:dyDescent="0.25">
      <c r="B373" s="184"/>
      <c r="D373" s="74"/>
      <c r="E373" s="72"/>
      <c r="F373" s="73"/>
      <c r="G373" s="72"/>
      <c r="H373" s="72"/>
      <c r="I373" s="72"/>
      <c r="J373" s="72"/>
      <c r="K373" s="72"/>
      <c r="L373" s="73"/>
      <c r="M373" s="72"/>
      <c r="N373" s="71"/>
      <c r="Q373"/>
      <c r="R373"/>
      <c r="S373"/>
      <c r="T373"/>
      <c r="U373"/>
      <c r="V373"/>
      <c r="W373"/>
      <c r="X373"/>
    </row>
    <row r="374" spans="2:24" ht="21.95" customHeight="1" x14ac:dyDescent="0.25">
      <c r="B374" s="182">
        <v>62</v>
      </c>
      <c r="C374" s="129">
        <v>62</v>
      </c>
      <c r="D374" s="64"/>
      <c r="E374" s="222">
        <f>VLOOKUP(B374,tDatos[],IF(UTCElegido="",4,12),0)</f>
        <v>0.625</v>
      </c>
      <c r="F374" s="222"/>
      <c r="G374" s="222"/>
      <c r="H374" s="65"/>
      <c r="I374" s="65"/>
      <c r="J374" s="65"/>
      <c r="K374" s="70"/>
      <c r="L374" s="69"/>
      <c r="M374"/>
      <c r="N374" s="57"/>
      <c r="Q374"/>
      <c r="R374"/>
      <c r="S374"/>
      <c r="T374"/>
      <c r="U374"/>
      <c r="V374"/>
      <c r="W374"/>
      <c r="X374"/>
    </row>
    <row r="375" spans="2:24" ht="21.95" customHeight="1" x14ac:dyDescent="0.25">
      <c r="B375" s="184"/>
      <c r="D375" s="64"/>
      <c r="E375" s="65"/>
      <c r="F375" s="68" t="s">
        <v>114</v>
      </c>
      <c r="G375" s="220">
        <v>5</v>
      </c>
      <c r="H375" s="221"/>
      <c r="I375" s="67" t="s">
        <v>0</v>
      </c>
      <c r="J375" s="220">
        <v>0</v>
      </c>
      <c r="K375" s="221"/>
      <c r="L375" s="66" t="s">
        <v>286</v>
      </c>
      <c r="M375" s="65"/>
      <c r="N375" s="57"/>
      <c r="Q375"/>
      <c r="R375"/>
      <c r="S375"/>
      <c r="T375"/>
      <c r="U375"/>
      <c r="V375"/>
      <c r="W375"/>
      <c r="X375"/>
    </row>
    <row r="376" spans="2:24" ht="20.100000000000001" customHeight="1" x14ac:dyDescent="0.25">
      <c r="B376" s="184"/>
      <c r="D376" s="64"/>
      <c r="E376" s="58"/>
      <c r="F376" s="59"/>
      <c r="G376" s="63"/>
      <c r="H376" s="60"/>
      <c r="I376" s="62" t="s">
        <v>373</v>
      </c>
      <c r="J376" s="61"/>
      <c r="K376" s="60"/>
      <c r="L376" s="59"/>
      <c r="M376" s="58"/>
      <c r="N376" s="57"/>
      <c r="Q376"/>
      <c r="R376"/>
      <c r="S376"/>
      <c r="T376"/>
      <c r="U376"/>
      <c r="V376"/>
      <c r="W376"/>
      <c r="X376"/>
    </row>
    <row r="377" spans="2:24" ht="5.0999999999999996" customHeight="1" x14ac:dyDescent="0.25">
      <c r="B377" s="184"/>
      <c r="D377" s="56"/>
      <c r="E377" s="54"/>
      <c r="F377" s="55"/>
      <c r="G377" s="54"/>
      <c r="H377" s="54"/>
      <c r="I377" s="54"/>
      <c r="J377" s="54"/>
      <c r="K377" s="54"/>
      <c r="L377" s="55"/>
      <c r="M377" s="54"/>
      <c r="N377" s="53"/>
      <c r="Q377"/>
      <c r="R377"/>
      <c r="S377"/>
      <c r="T377"/>
      <c r="U377"/>
      <c r="V377"/>
      <c r="W377"/>
      <c r="X377"/>
    </row>
    <row r="378" spans="2:24" ht="21.95" customHeight="1" x14ac:dyDescent="0.25">
      <c r="B378" s="184"/>
      <c r="D378" s="219" t="str">
        <f>TEXT(VLOOKUP(B380,tDatos[],IF(UTCElegido="",3,12),0),"dddd dd mmmm")</f>
        <v>viernes 26 Junio</v>
      </c>
      <c r="E378" s="219"/>
      <c r="F378" s="219"/>
      <c r="G378" s="219"/>
      <c r="H378" s="219"/>
      <c r="I378" s="219"/>
      <c r="J378" s="219"/>
      <c r="K378" s="219"/>
      <c r="L378" s="219"/>
      <c r="M378" s="219"/>
      <c r="N378" s="219"/>
      <c r="Q378"/>
      <c r="R378"/>
      <c r="S378"/>
      <c r="T378"/>
      <c r="U378"/>
      <c r="V378"/>
      <c r="W378"/>
      <c r="X378"/>
    </row>
    <row r="379" spans="2:24" ht="5.0999999999999996" customHeight="1" x14ac:dyDescent="0.25">
      <c r="B379" s="184"/>
      <c r="D379" s="74"/>
      <c r="E379" s="72"/>
      <c r="F379" s="73"/>
      <c r="G379" s="72"/>
      <c r="H379" s="72"/>
      <c r="I379" s="72"/>
      <c r="J379" s="72"/>
      <c r="K379" s="72"/>
      <c r="L379" s="73"/>
      <c r="M379" s="72"/>
      <c r="N379" s="71"/>
      <c r="Q379"/>
      <c r="R379"/>
      <c r="S379"/>
      <c r="T379"/>
      <c r="U379"/>
      <c r="V379"/>
      <c r="W379"/>
      <c r="X379"/>
    </row>
    <row r="380" spans="2:24" ht="21.95" customHeight="1" x14ac:dyDescent="0.25">
      <c r="B380" s="182">
        <v>63</v>
      </c>
      <c r="C380" s="129">
        <v>65</v>
      </c>
      <c r="D380" s="64"/>
      <c r="E380" s="222">
        <f>VLOOKUP(B380,tDatos[],IF(UTCElegido="",4,12),0)</f>
        <v>0.83333333333333337</v>
      </c>
      <c r="F380" s="222"/>
      <c r="G380" s="222"/>
      <c r="H380" s="65"/>
      <c r="I380" s="65"/>
      <c r="J380" s="65"/>
      <c r="K380" s="70"/>
      <c r="L380" s="69"/>
      <c r="M380"/>
      <c r="N380" s="57"/>
      <c r="Q380"/>
      <c r="R380"/>
      <c r="S380"/>
      <c r="T380"/>
      <c r="U380"/>
      <c r="V380"/>
      <c r="W380"/>
      <c r="X380"/>
    </row>
    <row r="381" spans="2:24" ht="21.95" customHeight="1" x14ac:dyDescent="0.25">
      <c r="B381" s="184"/>
      <c r="D381" s="64"/>
      <c r="E381" s="65"/>
      <c r="F381" s="68" t="s">
        <v>113</v>
      </c>
      <c r="G381" s="220">
        <v>0</v>
      </c>
      <c r="H381" s="221"/>
      <c r="I381" s="67" t="s">
        <v>0</v>
      </c>
      <c r="J381" s="220">
        <v>0</v>
      </c>
      <c r="K381" s="221"/>
      <c r="L381" s="66" t="s">
        <v>364</v>
      </c>
      <c r="M381" s="65"/>
      <c r="N381" s="57"/>
      <c r="Q381"/>
      <c r="R381"/>
      <c r="S381"/>
      <c r="T381"/>
      <c r="U381"/>
      <c r="V381"/>
      <c r="W381"/>
      <c r="X381"/>
    </row>
    <row r="382" spans="2:24" ht="20.100000000000001" customHeight="1" x14ac:dyDescent="0.25">
      <c r="B382" s="184"/>
      <c r="D382" s="64"/>
      <c r="E382" s="58"/>
      <c r="F382" s="59"/>
      <c r="G382" s="63"/>
      <c r="H382" s="60"/>
      <c r="I382" s="62" t="s">
        <v>375</v>
      </c>
      <c r="J382" s="61"/>
      <c r="K382" s="60"/>
      <c r="L382" s="59"/>
      <c r="M382" s="58"/>
      <c r="N382" s="57"/>
      <c r="Q382"/>
      <c r="R382"/>
      <c r="S382"/>
      <c r="T382"/>
      <c r="U382"/>
      <c r="V382"/>
      <c r="W382"/>
      <c r="X382"/>
    </row>
    <row r="383" spans="2:24" ht="5.0999999999999996" customHeight="1" x14ac:dyDescent="0.25">
      <c r="B383" s="184"/>
      <c r="D383" s="56"/>
      <c r="E383" s="54"/>
      <c r="F383" s="55"/>
      <c r="G383" s="54"/>
      <c r="H383" s="54"/>
      <c r="I383" s="54"/>
      <c r="J383" s="54"/>
      <c r="K383" s="54"/>
      <c r="L383" s="55"/>
      <c r="M383" s="54"/>
      <c r="N383" s="53"/>
      <c r="Q383"/>
      <c r="R383"/>
      <c r="S383"/>
      <c r="T383"/>
      <c r="U383"/>
      <c r="V383"/>
      <c r="W383"/>
      <c r="X383"/>
    </row>
    <row r="384" spans="2:24" ht="21.95" customHeight="1" x14ac:dyDescent="0.25">
      <c r="B384" s="184"/>
      <c r="D384" s="219" t="str">
        <f>TEXT(VLOOKUP(B386,tDatos[],IF(UTCElegido="",3,12),0),"dddd dd mmmm")</f>
        <v>viernes 26 Junio</v>
      </c>
      <c r="E384" s="219"/>
      <c r="F384" s="219"/>
      <c r="G384" s="219"/>
      <c r="H384" s="219"/>
      <c r="I384" s="219"/>
      <c r="J384" s="219"/>
      <c r="K384" s="219"/>
      <c r="L384" s="219"/>
      <c r="M384" s="219"/>
      <c r="N384" s="219"/>
      <c r="Q384"/>
      <c r="R384"/>
      <c r="S384"/>
      <c r="T384"/>
      <c r="U384"/>
      <c r="V384"/>
      <c r="W384"/>
      <c r="X384"/>
    </row>
    <row r="385" spans="2:24" ht="5.0999999999999996" customHeight="1" x14ac:dyDescent="0.25">
      <c r="B385" s="184"/>
      <c r="D385" s="74"/>
      <c r="E385" s="72"/>
      <c r="F385" s="73"/>
      <c r="G385" s="72"/>
      <c r="H385" s="72"/>
      <c r="I385" s="72"/>
      <c r="J385" s="72"/>
      <c r="K385" s="72"/>
      <c r="L385" s="73"/>
      <c r="M385" s="72"/>
      <c r="N385" s="71"/>
      <c r="Q385"/>
      <c r="R385"/>
      <c r="S385"/>
      <c r="T385"/>
      <c r="U385"/>
      <c r="V385"/>
      <c r="W385"/>
      <c r="X385"/>
    </row>
    <row r="386" spans="2:24" ht="21.95" customHeight="1" x14ac:dyDescent="0.25">
      <c r="B386" s="182">
        <v>64</v>
      </c>
      <c r="C386" s="129">
        <v>66</v>
      </c>
      <c r="D386" s="64"/>
      <c r="E386" s="222">
        <f>VLOOKUP(B386,tDatos[],IF(UTCElegido="",4,12),0)</f>
        <v>0.83333333333333337</v>
      </c>
      <c r="F386" s="222"/>
      <c r="G386" s="222"/>
      <c r="H386" s="65"/>
      <c r="I386" s="65"/>
      <c r="J386" s="65"/>
      <c r="K386" s="70"/>
      <c r="L386" s="69"/>
      <c r="M386"/>
      <c r="N386" s="57"/>
      <c r="Q386"/>
      <c r="R386"/>
      <c r="S386"/>
      <c r="T386"/>
      <c r="U386"/>
      <c r="V386"/>
      <c r="W386"/>
      <c r="X386"/>
    </row>
    <row r="387" spans="2:24" ht="21.95" customHeight="1" x14ac:dyDescent="0.25">
      <c r="B387" s="184"/>
      <c r="D387" s="64"/>
      <c r="E387" s="65"/>
      <c r="F387" s="68" t="s">
        <v>111</v>
      </c>
      <c r="G387" s="220">
        <v>0</v>
      </c>
      <c r="H387" s="221"/>
      <c r="I387" s="67" t="s">
        <v>0</v>
      </c>
      <c r="J387" s="220">
        <v>1</v>
      </c>
      <c r="K387" s="221"/>
      <c r="L387" s="66" t="s">
        <v>110</v>
      </c>
      <c r="M387" s="65"/>
      <c r="N387" s="57"/>
      <c r="Q387"/>
      <c r="R387"/>
      <c r="S387"/>
      <c r="T387"/>
      <c r="U387"/>
      <c r="V387"/>
      <c r="W387"/>
      <c r="X387"/>
    </row>
    <row r="388" spans="2:24" ht="20.100000000000001" customHeight="1" x14ac:dyDescent="0.25">
      <c r="B388" s="184"/>
      <c r="D388" s="64"/>
      <c r="E388" s="58"/>
      <c r="F388" s="59"/>
      <c r="G388" s="63"/>
      <c r="H388" s="60"/>
      <c r="I388" s="62" t="s">
        <v>367</v>
      </c>
      <c r="J388" s="61"/>
      <c r="K388" s="60"/>
      <c r="L388" s="59"/>
      <c r="M388" s="58"/>
      <c r="N388" s="57"/>
      <c r="Q388"/>
      <c r="R388"/>
      <c r="S388"/>
      <c r="T388"/>
      <c r="U388"/>
      <c r="V388"/>
      <c r="W388"/>
      <c r="X388"/>
    </row>
    <row r="389" spans="2:24" ht="5.0999999999999996" customHeight="1" x14ac:dyDescent="0.25">
      <c r="B389" s="184"/>
      <c r="D389" s="56"/>
      <c r="E389" s="54"/>
      <c r="F389" s="55"/>
      <c r="G389" s="54"/>
      <c r="H389" s="54"/>
      <c r="I389" s="54"/>
      <c r="J389" s="54"/>
      <c r="K389" s="54"/>
      <c r="L389" s="55"/>
      <c r="M389" s="54"/>
      <c r="N389" s="53"/>
      <c r="Q389"/>
      <c r="R389"/>
      <c r="S389"/>
      <c r="T389"/>
      <c r="U389"/>
      <c r="V389"/>
      <c r="W389"/>
      <c r="X389"/>
    </row>
    <row r="390" spans="2:24" ht="21.95" customHeight="1" x14ac:dyDescent="0.25">
      <c r="B390" s="184"/>
      <c r="D390" s="219" t="str">
        <f>TEXT(VLOOKUP(B392,tDatos[],IF(UTCElegido="",3,12),0),"dddd dd mmmm")</f>
        <v>viernes 26 Junio</v>
      </c>
      <c r="E390" s="219"/>
      <c r="F390" s="219"/>
      <c r="G390" s="219"/>
      <c r="H390" s="219"/>
      <c r="I390" s="219"/>
      <c r="J390" s="219"/>
      <c r="K390" s="219"/>
      <c r="L390" s="219"/>
      <c r="M390" s="219"/>
      <c r="N390" s="219"/>
      <c r="Q390"/>
      <c r="R390"/>
      <c r="S390"/>
      <c r="T390"/>
      <c r="U390"/>
      <c r="V390"/>
      <c r="W390"/>
      <c r="X390"/>
    </row>
    <row r="391" spans="2:24" ht="5.0999999999999996" customHeight="1" x14ac:dyDescent="0.25">
      <c r="B391" s="184"/>
      <c r="D391" s="78"/>
      <c r="E391" s="72"/>
      <c r="F391" s="73"/>
      <c r="G391" s="72"/>
      <c r="H391" s="72"/>
      <c r="I391" s="72"/>
      <c r="J391" s="72"/>
      <c r="K391" s="72"/>
      <c r="L391" s="73"/>
      <c r="M391" s="72"/>
      <c r="N391" s="71"/>
      <c r="Q391"/>
      <c r="R391"/>
      <c r="S391"/>
      <c r="T391"/>
      <c r="U391"/>
      <c r="V391"/>
      <c r="W391"/>
      <c r="X391"/>
    </row>
    <row r="392" spans="2:24" ht="21.95" customHeight="1" x14ac:dyDescent="0.25">
      <c r="B392" s="182">
        <v>65</v>
      </c>
      <c r="C392" s="129">
        <v>63</v>
      </c>
      <c r="D392" s="64"/>
      <c r="E392" s="222">
        <f>VLOOKUP(B392,tDatos[],IF(UTCElegido="",4,12),0)</f>
        <v>0.95833333333333337</v>
      </c>
      <c r="F392" s="222"/>
      <c r="G392" s="222"/>
      <c r="H392" s="77"/>
      <c r="I392" s="77"/>
      <c r="J392" s="77"/>
      <c r="K392" s="76"/>
      <c r="L392" s="75"/>
      <c r="M392"/>
      <c r="N392" s="57"/>
      <c r="Q392"/>
      <c r="R392"/>
      <c r="S392"/>
      <c r="T392"/>
      <c r="U392"/>
      <c r="V392"/>
      <c r="W392"/>
      <c r="X392"/>
    </row>
    <row r="393" spans="2:24" ht="21.95" customHeight="1" x14ac:dyDescent="0.25">
      <c r="B393" s="184"/>
      <c r="D393" s="64"/>
      <c r="E393" s="65"/>
      <c r="F393" s="68" t="s">
        <v>108</v>
      </c>
      <c r="G393" s="220">
        <v>1</v>
      </c>
      <c r="H393" s="221"/>
      <c r="I393" s="67" t="s">
        <v>0</v>
      </c>
      <c r="J393" s="220">
        <v>1</v>
      </c>
      <c r="K393" s="221"/>
      <c r="L393" s="66" t="s">
        <v>107</v>
      </c>
      <c r="M393" s="65"/>
      <c r="N393" s="57"/>
      <c r="Q393"/>
      <c r="R393"/>
      <c r="S393"/>
      <c r="T393"/>
      <c r="U393"/>
      <c r="V393"/>
      <c r="W393"/>
      <c r="X393"/>
    </row>
    <row r="394" spans="2:24" ht="20.100000000000001" customHeight="1" x14ac:dyDescent="0.25">
      <c r="B394" s="184"/>
      <c r="D394" s="64"/>
      <c r="E394" s="58"/>
      <c r="F394" s="59"/>
      <c r="G394" s="63"/>
      <c r="H394" s="60"/>
      <c r="I394" s="61" t="s">
        <v>380</v>
      </c>
      <c r="J394" s="61"/>
      <c r="K394" s="60"/>
      <c r="L394" s="59"/>
      <c r="M394" s="58"/>
      <c r="N394" s="57"/>
      <c r="Q394"/>
      <c r="R394"/>
      <c r="S394"/>
      <c r="T394"/>
      <c r="U394"/>
      <c r="V394"/>
      <c r="W394"/>
      <c r="X394"/>
    </row>
    <row r="395" spans="2:24" ht="5.0999999999999996" customHeight="1" x14ac:dyDescent="0.25">
      <c r="B395" s="184"/>
      <c r="D395" s="56"/>
      <c r="E395" s="54"/>
      <c r="F395" s="55"/>
      <c r="G395" s="54"/>
      <c r="H395" s="54"/>
      <c r="I395" s="54"/>
      <c r="J395" s="54"/>
      <c r="K395" s="54"/>
      <c r="L395" s="55"/>
      <c r="M395" s="54"/>
      <c r="N395" s="53"/>
      <c r="Q395"/>
      <c r="R395"/>
      <c r="S395"/>
      <c r="T395"/>
      <c r="U395"/>
      <c r="V395"/>
      <c r="W395"/>
      <c r="X395"/>
    </row>
    <row r="396" spans="2:24" ht="21.95" customHeight="1" x14ac:dyDescent="0.25">
      <c r="B396" s="184"/>
      <c r="D396" s="219" t="str">
        <f>TEXT(VLOOKUP(B398,tDatos[],IF(UTCElegido="",3,12),0),"dddd dd mmmm")</f>
        <v>viernes 26 Junio</v>
      </c>
      <c r="E396" s="219"/>
      <c r="F396" s="219"/>
      <c r="G396" s="219"/>
      <c r="H396" s="219"/>
      <c r="I396" s="219"/>
      <c r="J396" s="219"/>
      <c r="K396" s="219"/>
      <c r="L396" s="219"/>
      <c r="M396" s="219"/>
      <c r="N396" s="219"/>
      <c r="Q396"/>
      <c r="R396"/>
      <c r="S396"/>
      <c r="T396"/>
      <c r="U396"/>
      <c r="V396"/>
      <c r="W396"/>
      <c r="X396"/>
    </row>
    <row r="397" spans="2:24" ht="5.0999999999999996" customHeight="1" x14ac:dyDescent="0.25">
      <c r="B397" s="184"/>
      <c r="D397" s="74"/>
      <c r="E397" s="72"/>
      <c r="F397" s="73"/>
      <c r="G397" s="72"/>
      <c r="H397" s="72"/>
      <c r="I397" s="72"/>
      <c r="J397" s="72"/>
      <c r="K397" s="72"/>
      <c r="L397" s="73"/>
      <c r="M397" s="72"/>
      <c r="N397" s="71"/>
      <c r="Q397"/>
      <c r="R397"/>
      <c r="S397"/>
      <c r="T397"/>
      <c r="U397"/>
      <c r="V397"/>
      <c r="W397"/>
      <c r="X397"/>
    </row>
    <row r="398" spans="2:24" ht="21.95" customHeight="1" x14ac:dyDescent="0.25">
      <c r="B398" s="182">
        <v>66</v>
      </c>
      <c r="C398" s="129">
        <v>64</v>
      </c>
      <c r="D398" s="64"/>
      <c r="E398" s="222">
        <f>VLOOKUP(B398,tDatos[],IF(UTCElegido="",4,12),0)</f>
        <v>0.95833333333333337</v>
      </c>
      <c r="F398" s="222"/>
      <c r="G398" s="222"/>
      <c r="H398" s="65"/>
      <c r="I398" s="65"/>
      <c r="J398" s="65"/>
      <c r="K398" s="70"/>
      <c r="L398" s="69"/>
      <c r="M398"/>
      <c r="N398" s="57"/>
      <c r="Q398"/>
      <c r="R398"/>
      <c r="S398"/>
      <c r="T398"/>
      <c r="U398"/>
      <c r="V398"/>
      <c r="W398"/>
      <c r="X398"/>
    </row>
    <row r="399" spans="2:24" ht="21.95" customHeight="1" x14ac:dyDescent="0.25">
      <c r="B399" s="184"/>
      <c r="D399" s="64"/>
      <c r="E399" s="65"/>
      <c r="F399" s="68" t="s">
        <v>105</v>
      </c>
      <c r="G399" s="220">
        <v>1</v>
      </c>
      <c r="H399" s="221"/>
      <c r="I399" s="67" t="s">
        <v>0</v>
      </c>
      <c r="J399" s="220">
        <v>5</v>
      </c>
      <c r="K399" s="221"/>
      <c r="L399" s="66" t="s">
        <v>104</v>
      </c>
      <c r="M399" s="65"/>
      <c r="N399" s="57"/>
      <c r="Q399"/>
      <c r="R399"/>
      <c r="S399"/>
      <c r="T399"/>
      <c r="U399"/>
      <c r="V399"/>
      <c r="W399"/>
      <c r="X399"/>
    </row>
    <row r="400" spans="2:24" ht="20.100000000000001" customHeight="1" x14ac:dyDescent="0.25">
      <c r="B400" s="184"/>
      <c r="D400" s="64"/>
      <c r="E400" s="58"/>
      <c r="F400" s="59"/>
      <c r="G400" s="63"/>
      <c r="H400" s="60"/>
      <c r="I400" s="62" t="s">
        <v>372</v>
      </c>
      <c r="J400" s="61"/>
      <c r="K400" s="60"/>
      <c r="L400" s="59"/>
      <c r="M400" s="58"/>
      <c r="N400" s="57"/>
      <c r="Q400"/>
      <c r="R400"/>
      <c r="S400"/>
      <c r="T400"/>
      <c r="U400"/>
      <c r="V400"/>
      <c r="W400"/>
      <c r="X400"/>
    </row>
    <row r="401" spans="2:24" ht="5.0999999999999996" customHeight="1" x14ac:dyDescent="0.25">
      <c r="B401" s="184"/>
      <c r="D401" s="56"/>
      <c r="E401" s="54"/>
      <c r="F401" s="55"/>
      <c r="G401" s="54"/>
      <c r="H401" s="54"/>
      <c r="I401" s="54"/>
      <c r="J401" s="54"/>
      <c r="K401" s="54"/>
      <c r="L401" s="55"/>
      <c r="M401" s="54"/>
      <c r="N401" s="53"/>
      <c r="Q401"/>
      <c r="R401"/>
      <c r="S401"/>
      <c r="T401"/>
      <c r="U401"/>
      <c r="V401"/>
      <c r="W401"/>
      <c r="X401"/>
    </row>
    <row r="402" spans="2:24" ht="21.95" customHeight="1" x14ac:dyDescent="0.25">
      <c r="B402" s="184"/>
      <c r="D402" s="219" t="str">
        <f>TEXT(VLOOKUP(B404,tDatos[],IF(UTCElegido="",3,12),0),"dddd dd mmmm")</f>
        <v>sábado 27 Junio</v>
      </c>
      <c r="E402" s="219"/>
      <c r="F402" s="219"/>
      <c r="G402" s="219"/>
      <c r="H402" s="219"/>
      <c r="I402" s="219"/>
      <c r="J402" s="219"/>
      <c r="K402" s="219"/>
      <c r="L402" s="219"/>
      <c r="M402" s="219"/>
      <c r="N402" s="219"/>
      <c r="Q402"/>
      <c r="R402"/>
      <c r="S402"/>
      <c r="T402"/>
      <c r="U402"/>
      <c r="V402"/>
      <c r="W402"/>
      <c r="X402"/>
    </row>
    <row r="403" spans="2:24" ht="5.0999999999999996" customHeight="1" x14ac:dyDescent="0.25">
      <c r="B403" s="184"/>
      <c r="D403" s="74"/>
      <c r="E403" s="72"/>
      <c r="F403" s="73"/>
      <c r="G403" s="72"/>
      <c r="H403" s="72"/>
      <c r="I403" s="72"/>
      <c r="J403" s="72"/>
      <c r="K403" s="72"/>
      <c r="L403" s="73"/>
      <c r="M403" s="72"/>
      <c r="N403" s="71"/>
      <c r="Q403"/>
      <c r="R403"/>
      <c r="S403"/>
      <c r="T403"/>
      <c r="U403"/>
      <c r="V403"/>
      <c r="W403"/>
      <c r="X403"/>
    </row>
    <row r="404" spans="2:24" ht="21.95" customHeight="1" x14ac:dyDescent="0.25">
      <c r="B404" s="182">
        <v>67</v>
      </c>
      <c r="C404" s="129">
        <v>67</v>
      </c>
      <c r="D404" s="64"/>
      <c r="E404" s="222">
        <f>VLOOKUP(B404,tDatos[],IF(UTCElegido="",4,12),0)</f>
        <v>0.70833333333333337</v>
      </c>
      <c r="F404" s="222"/>
      <c r="G404" s="222"/>
      <c r="H404" s="65"/>
      <c r="I404" s="65"/>
      <c r="J404" s="65"/>
      <c r="K404" s="70"/>
      <c r="L404" s="69"/>
      <c r="M404"/>
      <c r="N404" s="57"/>
      <c r="Q404"/>
      <c r="R404"/>
      <c r="S404"/>
      <c r="T404"/>
      <c r="U404"/>
      <c r="V404"/>
      <c r="W404"/>
      <c r="X404"/>
    </row>
    <row r="405" spans="2:24" ht="21.95" customHeight="1" x14ac:dyDescent="0.25">
      <c r="B405" s="184"/>
      <c r="D405" s="64"/>
      <c r="E405" s="65"/>
      <c r="F405" s="68" t="s">
        <v>103</v>
      </c>
      <c r="G405" s="220">
        <v>0</v>
      </c>
      <c r="H405" s="221"/>
      <c r="I405" s="67" t="s">
        <v>0</v>
      </c>
      <c r="J405" s="220">
        <v>2</v>
      </c>
      <c r="K405" s="221"/>
      <c r="L405" s="66" t="s">
        <v>102</v>
      </c>
      <c r="M405" s="65"/>
      <c r="N405" s="57"/>
      <c r="Q405"/>
      <c r="R405"/>
      <c r="S405"/>
      <c r="T405"/>
      <c r="U405"/>
      <c r="V405"/>
      <c r="W405"/>
      <c r="X405"/>
    </row>
    <row r="406" spans="2:24" ht="20.100000000000001" customHeight="1" x14ac:dyDescent="0.25">
      <c r="B406" s="184"/>
      <c r="D406" s="64"/>
      <c r="E406" s="58"/>
      <c r="F406" s="59"/>
      <c r="G406" s="63"/>
      <c r="H406" s="60"/>
      <c r="I406" s="62" t="s">
        <v>370</v>
      </c>
      <c r="J406" s="61"/>
      <c r="K406" s="60"/>
      <c r="L406" s="59"/>
      <c r="M406" s="58"/>
      <c r="N406" s="57"/>
      <c r="Q406"/>
      <c r="R406"/>
      <c r="S406"/>
      <c r="T406"/>
      <c r="U406"/>
      <c r="V406"/>
      <c r="W406"/>
      <c r="X406"/>
    </row>
    <row r="407" spans="2:24" ht="5.0999999999999996" customHeight="1" x14ac:dyDescent="0.25">
      <c r="B407" s="184"/>
      <c r="D407" s="56"/>
      <c r="E407" s="54"/>
      <c r="F407" s="55"/>
      <c r="G407" s="54"/>
      <c r="H407" s="54"/>
      <c r="I407" s="54"/>
      <c r="J407" s="54"/>
      <c r="K407" s="54"/>
      <c r="L407" s="55"/>
      <c r="M407" s="54"/>
      <c r="N407" s="53"/>
      <c r="Q407"/>
      <c r="R407"/>
      <c r="S407"/>
      <c r="T407"/>
      <c r="U407"/>
      <c r="V407"/>
      <c r="W407"/>
      <c r="X407"/>
    </row>
    <row r="408" spans="2:24" ht="21.95" customHeight="1" x14ac:dyDescent="0.25">
      <c r="B408" s="184"/>
      <c r="D408" s="219" t="str">
        <f>TEXT(VLOOKUP(B410,tDatos[],IF(UTCElegido="",3,12),0),"dddd dd mmmm")</f>
        <v>sábado 27 Junio</v>
      </c>
      <c r="E408" s="219"/>
      <c r="F408" s="219"/>
      <c r="G408" s="219"/>
      <c r="H408" s="219"/>
      <c r="I408" s="219"/>
      <c r="J408" s="219"/>
      <c r="K408" s="219"/>
      <c r="L408" s="219"/>
      <c r="M408" s="219"/>
      <c r="N408" s="219"/>
      <c r="Q408"/>
      <c r="R408"/>
      <c r="S408"/>
      <c r="T408"/>
      <c r="U408"/>
      <c r="V408"/>
      <c r="W408"/>
      <c r="X408"/>
    </row>
    <row r="409" spans="2:24" ht="5.0999999999999996" customHeight="1" x14ac:dyDescent="0.25">
      <c r="B409" s="184"/>
      <c r="D409" s="74"/>
      <c r="E409" s="72"/>
      <c r="F409" s="73"/>
      <c r="G409" s="72"/>
      <c r="H409" s="72"/>
      <c r="I409" s="72"/>
      <c r="J409" s="72"/>
      <c r="K409" s="72"/>
      <c r="L409" s="73"/>
      <c r="M409" s="72"/>
      <c r="N409" s="71"/>
      <c r="Q409"/>
      <c r="R409"/>
      <c r="S409"/>
      <c r="T409"/>
      <c r="U409"/>
      <c r="V409"/>
      <c r="W409"/>
      <c r="X409"/>
    </row>
    <row r="410" spans="2:24" ht="21.95" customHeight="1" x14ac:dyDescent="0.25">
      <c r="B410" s="182">
        <v>68</v>
      </c>
      <c r="C410" s="129">
        <v>68</v>
      </c>
      <c r="D410" s="64"/>
      <c r="E410" s="222">
        <f>VLOOKUP(B410,tDatos[],IF(UTCElegido="",4,12),0)</f>
        <v>0.70833333333333337</v>
      </c>
      <c r="F410" s="222"/>
      <c r="G410" s="222"/>
      <c r="H410" s="65"/>
      <c r="I410" s="65"/>
      <c r="J410" s="65"/>
      <c r="K410" s="70"/>
      <c r="L410" s="69"/>
      <c r="M410"/>
      <c r="N410" s="57"/>
      <c r="Q410"/>
      <c r="R410"/>
      <c r="S410"/>
      <c r="T410"/>
      <c r="U410"/>
      <c r="V410"/>
      <c r="W410"/>
      <c r="X410"/>
    </row>
    <row r="411" spans="2:24" ht="21.95" customHeight="1" x14ac:dyDescent="0.25">
      <c r="B411" s="184"/>
      <c r="D411" s="64"/>
      <c r="E411" s="65"/>
      <c r="F411" s="68" t="s">
        <v>100</v>
      </c>
      <c r="G411" s="220">
        <v>2</v>
      </c>
      <c r="H411" s="221"/>
      <c r="I411" s="67" t="s">
        <v>0</v>
      </c>
      <c r="J411" s="220">
        <v>1</v>
      </c>
      <c r="K411" s="221"/>
      <c r="L411" s="66" t="s">
        <v>99</v>
      </c>
      <c r="M411" s="65"/>
      <c r="N411" s="57"/>
      <c r="Q411"/>
      <c r="R411"/>
      <c r="S411"/>
      <c r="T411"/>
      <c r="U411"/>
      <c r="V411"/>
      <c r="W411"/>
      <c r="X411"/>
    </row>
    <row r="412" spans="2:24" ht="20.100000000000001" customHeight="1" x14ac:dyDescent="0.25">
      <c r="B412" s="184"/>
      <c r="D412" s="64"/>
      <c r="E412" s="58"/>
      <c r="F412" s="59"/>
      <c r="G412" s="63"/>
      <c r="H412" s="60"/>
      <c r="I412" s="62" t="s">
        <v>377</v>
      </c>
      <c r="J412" s="61"/>
      <c r="K412" s="60"/>
      <c r="L412" s="59"/>
      <c r="M412" s="58"/>
      <c r="N412" s="57"/>
      <c r="Q412"/>
      <c r="R412"/>
      <c r="S412"/>
      <c r="T412"/>
      <c r="U412"/>
      <c r="V412"/>
      <c r="W412"/>
      <c r="X412"/>
    </row>
    <row r="413" spans="2:24" ht="5.0999999999999996" customHeight="1" x14ac:dyDescent="0.25">
      <c r="B413" s="184"/>
      <c r="D413" s="56"/>
      <c r="E413" s="54"/>
      <c r="F413" s="55"/>
      <c r="G413" s="54"/>
      <c r="H413" s="54"/>
      <c r="I413" s="54"/>
      <c r="J413" s="54"/>
      <c r="K413" s="54"/>
      <c r="L413" s="55"/>
      <c r="M413" s="54"/>
      <c r="N413" s="53"/>
      <c r="Q413"/>
      <c r="R413"/>
      <c r="S413"/>
      <c r="T413"/>
      <c r="U413"/>
      <c r="V413"/>
      <c r="W413"/>
      <c r="X413"/>
    </row>
    <row r="414" spans="2:24" ht="21.95" customHeight="1" x14ac:dyDescent="0.25">
      <c r="B414" s="184"/>
      <c r="D414" s="219" t="str">
        <f>TEXT(VLOOKUP(B416,tDatos[],IF(UTCElegido="",3,12),0),"dddd dd mmmm")</f>
        <v>sábado 27 Junio</v>
      </c>
      <c r="E414" s="219"/>
      <c r="F414" s="219"/>
      <c r="G414" s="219"/>
      <c r="H414" s="219"/>
      <c r="I414" s="219"/>
      <c r="J414" s="219"/>
      <c r="K414" s="219"/>
      <c r="L414" s="219"/>
      <c r="M414" s="219"/>
      <c r="N414" s="219"/>
      <c r="Q414"/>
      <c r="R414"/>
      <c r="S414"/>
      <c r="T414"/>
      <c r="U414"/>
      <c r="V414"/>
      <c r="W414"/>
      <c r="X414"/>
    </row>
    <row r="415" spans="2:24" ht="5.0999999999999996" customHeight="1" x14ac:dyDescent="0.25">
      <c r="B415" s="184"/>
      <c r="D415" s="74"/>
      <c r="E415" s="72"/>
      <c r="F415" s="73"/>
      <c r="G415" s="72"/>
      <c r="H415" s="72"/>
      <c r="I415" s="72"/>
      <c r="J415" s="72"/>
      <c r="K415" s="72"/>
      <c r="L415" s="73"/>
      <c r="M415" s="72"/>
      <c r="N415" s="71"/>
      <c r="Q415"/>
      <c r="R415"/>
      <c r="S415"/>
      <c r="T415"/>
      <c r="U415"/>
      <c r="V415"/>
      <c r="W415"/>
      <c r="X415"/>
    </row>
    <row r="416" spans="2:24" ht="21.95" customHeight="1" x14ac:dyDescent="0.25">
      <c r="B416" s="182">
        <v>69</v>
      </c>
      <c r="C416" s="129">
        <v>71</v>
      </c>
      <c r="D416" s="64"/>
      <c r="E416" s="222">
        <f>VLOOKUP(B416,tDatos[],IF(UTCElegido="",4,12),0)</f>
        <v>0.8125</v>
      </c>
      <c r="F416" s="222"/>
      <c r="G416" s="222"/>
      <c r="H416" s="65"/>
      <c r="I416" s="65"/>
      <c r="J416" s="65"/>
      <c r="K416" s="70"/>
      <c r="L416" s="69"/>
      <c r="M416"/>
      <c r="N416" s="57"/>
      <c r="Q416"/>
      <c r="R416"/>
      <c r="S416"/>
      <c r="T416"/>
      <c r="U416"/>
      <c r="V416"/>
      <c r="W416"/>
      <c r="X416"/>
    </row>
    <row r="417" spans="2:24" ht="21.95" customHeight="1" x14ac:dyDescent="0.25">
      <c r="B417" s="184"/>
      <c r="D417" s="64"/>
      <c r="E417" s="65"/>
      <c r="F417" s="68" t="s">
        <v>98</v>
      </c>
      <c r="G417" s="220">
        <v>0</v>
      </c>
      <c r="H417" s="221"/>
      <c r="I417" s="67" t="s">
        <v>0</v>
      </c>
      <c r="J417" s="220">
        <v>0</v>
      </c>
      <c r="K417" s="221"/>
      <c r="L417" s="66" t="s">
        <v>97</v>
      </c>
      <c r="M417" s="65"/>
      <c r="N417" s="57"/>
      <c r="Q417"/>
      <c r="R417"/>
      <c r="S417"/>
      <c r="T417"/>
      <c r="U417"/>
      <c r="V417"/>
      <c r="W417"/>
      <c r="X417"/>
    </row>
    <row r="418" spans="2:24" ht="20.100000000000001" customHeight="1" x14ac:dyDescent="0.25">
      <c r="B418" s="184"/>
      <c r="D418" s="64"/>
      <c r="E418" s="58"/>
      <c r="F418" s="59"/>
      <c r="G418" s="63"/>
      <c r="H418" s="60"/>
      <c r="I418" s="62" t="s">
        <v>381</v>
      </c>
      <c r="J418" s="61"/>
      <c r="K418" s="60"/>
      <c r="L418" s="59"/>
      <c r="M418" s="58"/>
      <c r="N418" s="57"/>
      <c r="Q418"/>
      <c r="R418"/>
      <c r="S418"/>
      <c r="T418"/>
      <c r="U418"/>
      <c r="V418"/>
      <c r="W418"/>
      <c r="X418"/>
    </row>
    <row r="419" spans="2:24" ht="5.0999999999999996" customHeight="1" x14ac:dyDescent="0.25">
      <c r="B419" s="184"/>
      <c r="D419" s="56"/>
      <c r="E419" s="54"/>
      <c r="F419" s="55"/>
      <c r="G419" s="54"/>
      <c r="H419" s="54"/>
      <c r="I419" s="54"/>
      <c r="J419" s="54"/>
      <c r="K419" s="54"/>
      <c r="L419" s="55"/>
      <c r="M419" s="54"/>
      <c r="N419" s="53"/>
      <c r="Q419"/>
      <c r="R419"/>
      <c r="S419"/>
      <c r="T419"/>
      <c r="U419"/>
      <c r="V419"/>
      <c r="W419"/>
      <c r="X419"/>
    </row>
    <row r="420" spans="2:24" ht="21.95" customHeight="1" x14ac:dyDescent="0.25">
      <c r="B420" s="184"/>
      <c r="D420" s="219" t="str">
        <f>TEXT(VLOOKUP(B422,tDatos[],IF(UTCElegido="",3,12),0),"dddd dd mmmm")</f>
        <v>sábado 27 Junio</v>
      </c>
      <c r="E420" s="219"/>
      <c r="F420" s="219"/>
      <c r="G420" s="219"/>
      <c r="H420" s="219"/>
      <c r="I420" s="219"/>
      <c r="J420" s="219"/>
      <c r="K420" s="219"/>
      <c r="L420" s="219"/>
      <c r="M420" s="219"/>
      <c r="N420" s="219"/>
      <c r="Q420"/>
      <c r="R420"/>
      <c r="S420"/>
      <c r="T420"/>
      <c r="U420"/>
      <c r="V420"/>
      <c r="W420"/>
      <c r="X420"/>
    </row>
    <row r="421" spans="2:24" ht="5.0999999999999996" customHeight="1" x14ac:dyDescent="0.25">
      <c r="B421" s="184"/>
      <c r="D421" s="74"/>
      <c r="E421" s="72"/>
      <c r="F421" s="73"/>
      <c r="G421" s="72"/>
      <c r="H421" s="72"/>
      <c r="I421" s="72"/>
      <c r="J421" s="72"/>
      <c r="K421" s="72"/>
      <c r="L421" s="73"/>
      <c r="M421" s="72"/>
      <c r="N421" s="71"/>
      <c r="Q421"/>
      <c r="R421"/>
      <c r="S421"/>
      <c r="T421"/>
      <c r="U421"/>
      <c r="V421"/>
      <c r="W421"/>
      <c r="X421"/>
    </row>
    <row r="422" spans="2:24" ht="21.95" customHeight="1" x14ac:dyDescent="0.25">
      <c r="B422" s="182">
        <v>70</v>
      </c>
      <c r="C422" s="129">
        <v>72</v>
      </c>
      <c r="D422" s="64"/>
      <c r="E422" s="222">
        <f>VLOOKUP(B422,tDatos[],IF(UTCElegido="",4,12),0)</f>
        <v>0.8125</v>
      </c>
      <c r="F422" s="222"/>
      <c r="G422" s="222"/>
      <c r="H422" s="77"/>
      <c r="I422" s="77"/>
      <c r="J422" s="77"/>
      <c r="K422" s="76"/>
      <c r="L422" s="75"/>
      <c r="M422"/>
      <c r="N422" s="57"/>
      <c r="Q422"/>
      <c r="R422"/>
      <c r="S422"/>
      <c r="T422"/>
      <c r="U422"/>
      <c r="V422"/>
      <c r="W422"/>
      <c r="X422"/>
    </row>
    <row r="423" spans="2:24" ht="21.95" customHeight="1" x14ac:dyDescent="0.25">
      <c r="B423" s="184"/>
      <c r="D423" s="64"/>
      <c r="E423" s="65"/>
      <c r="F423" s="68" t="s">
        <v>365</v>
      </c>
      <c r="G423" s="220">
        <v>3</v>
      </c>
      <c r="H423" s="221"/>
      <c r="I423" s="67" t="s">
        <v>0</v>
      </c>
      <c r="J423" s="220">
        <v>1</v>
      </c>
      <c r="K423" s="221"/>
      <c r="L423" s="66" t="s">
        <v>95</v>
      </c>
      <c r="M423" s="65"/>
      <c r="N423" s="57"/>
      <c r="Q423"/>
      <c r="R423"/>
      <c r="S423"/>
      <c r="T423"/>
      <c r="U423"/>
      <c r="V423"/>
      <c r="W423"/>
      <c r="X423"/>
    </row>
    <row r="424" spans="2:24" ht="20.100000000000001" customHeight="1" x14ac:dyDescent="0.25">
      <c r="B424" s="184"/>
      <c r="D424" s="64"/>
      <c r="E424" s="58"/>
      <c r="F424" s="59"/>
      <c r="G424" s="63"/>
      <c r="H424" s="60"/>
      <c r="I424" s="61" t="s">
        <v>379</v>
      </c>
      <c r="J424" s="61"/>
      <c r="K424" s="60"/>
      <c r="L424" s="59"/>
      <c r="M424" s="58"/>
      <c r="N424" s="57"/>
      <c r="Q424"/>
      <c r="R424"/>
      <c r="S424"/>
      <c r="T424"/>
      <c r="U424"/>
      <c r="V424"/>
      <c r="W424"/>
      <c r="X424"/>
    </row>
    <row r="425" spans="2:24" ht="5.0999999999999996" customHeight="1" x14ac:dyDescent="0.25">
      <c r="B425" s="184"/>
      <c r="D425" s="56"/>
      <c r="E425" s="54"/>
      <c r="F425" s="55"/>
      <c r="G425" s="54"/>
      <c r="H425" s="54"/>
      <c r="I425" s="54"/>
      <c r="J425" s="54"/>
      <c r="K425" s="54"/>
      <c r="L425" s="55"/>
      <c r="M425" s="54"/>
      <c r="N425" s="53"/>
      <c r="Q425"/>
      <c r="R425"/>
      <c r="S425"/>
      <c r="T425"/>
      <c r="U425"/>
      <c r="V425"/>
      <c r="W425"/>
      <c r="X425"/>
    </row>
    <row r="426" spans="2:24" ht="21.95" customHeight="1" x14ac:dyDescent="0.25">
      <c r="B426" s="184"/>
      <c r="D426" s="219" t="str">
        <f>TEXT(VLOOKUP(B428,tDatos[],IF(UTCElegido="",3,12),0),"dddd dd mmmm")</f>
        <v>sábado 27 Junio</v>
      </c>
      <c r="E426" s="219"/>
      <c r="F426" s="219"/>
      <c r="G426" s="219"/>
      <c r="H426" s="219"/>
      <c r="I426" s="219"/>
      <c r="J426" s="219"/>
      <c r="K426" s="219"/>
      <c r="L426" s="219"/>
      <c r="M426" s="219"/>
      <c r="N426" s="219"/>
      <c r="Q426"/>
      <c r="R426"/>
      <c r="S426"/>
      <c r="T426"/>
      <c r="U426"/>
      <c r="V426"/>
      <c r="W426"/>
      <c r="X426"/>
    </row>
    <row r="427" spans="2:24" ht="5.0999999999999996" customHeight="1" x14ac:dyDescent="0.25">
      <c r="B427" s="184"/>
      <c r="D427" s="74"/>
      <c r="E427" s="72"/>
      <c r="F427" s="73"/>
      <c r="G427" s="72"/>
      <c r="H427" s="72"/>
      <c r="I427" s="72"/>
      <c r="J427" s="72"/>
      <c r="K427" s="72"/>
      <c r="L427" s="73"/>
      <c r="M427" s="72"/>
      <c r="N427" s="71"/>
      <c r="Q427"/>
      <c r="R427"/>
      <c r="S427"/>
      <c r="T427"/>
      <c r="U427"/>
      <c r="V427"/>
      <c r="W427"/>
      <c r="X427"/>
    </row>
    <row r="428" spans="2:24" ht="21.95" customHeight="1" x14ac:dyDescent="0.25">
      <c r="B428" s="182">
        <v>71</v>
      </c>
      <c r="C428" s="129">
        <v>69</v>
      </c>
      <c r="D428" s="64"/>
      <c r="E428" s="222">
        <f>VLOOKUP(B428,tDatos[],IF(UTCElegido="",4,12),0)</f>
        <v>0.91666666666666663</v>
      </c>
      <c r="F428" s="222"/>
      <c r="G428" s="222"/>
      <c r="H428" s="65"/>
      <c r="I428" s="65"/>
      <c r="J428" s="65"/>
      <c r="K428" s="70"/>
      <c r="L428" s="69"/>
      <c r="M428"/>
      <c r="N428" s="57"/>
      <c r="Q428"/>
      <c r="R428"/>
      <c r="S428"/>
      <c r="T428"/>
      <c r="U428"/>
      <c r="V428"/>
      <c r="W428"/>
      <c r="X428"/>
    </row>
    <row r="429" spans="2:24" ht="21.95" customHeight="1" x14ac:dyDescent="0.25">
      <c r="B429" s="184"/>
      <c r="D429" s="64"/>
      <c r="E429" s="65"/>
      <c r="F429" s="68" t="s">
        <v>94</v>
      </c>
      <c r="G429" s="220">
        <v>3</v>
      </c>
      <c r="H429" s="221"/>
      <c r="I429" s="67" t="s">
        <v>0</v>
      </c>
      <c r="J429" s="220">
        <v>3</v>
      </c>
      <c r="K429" s="221"/>
      <c r="L429" s="66" t="s">
        <v>93</v>
      </c>
      <c r="M429" s="65"/>
      <c r="N429" s="57"/>
      <c r="Q429"/>
      <c r="R429"/>
      <c r="S429"/>
      <c r="T429"/>
      <c r="U429"/>
      <c r="V429"/>
      <c r="W429"/>
      <c r="X429"/>
    </row>
    <row r="430" spans="2:24" ht="20.100000000000001" customHeight="1" x14ac:dyDescent="0.25">
      <c r="B430" s="184"/>
      <c r="D430" s="64"/>
      <c r="E430" s="58"/>
      <c r="F430" s="59"/>
      <c r="G430" s="63"/>
      <c r="H430" s="60"/>
      <c r="I430" s="62" t="s">
        <v>382</v>
      </c>
      <c r="J430" s="61"/>
      <c r="K430" s="60"/>
      <c r="L430" s="59"/>
      <c r="M430" s="58"/>
      <c r="N430" s="57"/>
      <c r="Q430"/>
      <c r="R430"/>
      <c r="S430"/>
      <c r="T430"/>
      <c r="U430"/>
      <c r="V430"/>
      <c r="W430"/>
      <c r="X430"/>
    </row>
    <row r="431" spans="2:24" ht="5.0999999999999996" customHeight="1" x14ac:dyDescent="0.25">
      <c r="B431" s="184"/>
      <c r="D431" s="56"/>
      <c r="E431" s="54"/>
      <c r="F431" s="55"/>
      <c r="G431" s="54"/>
      <c r="H431" s="54"/>
      <c r="I431" s="54"/>
      <c r="J431" s="54"/>
      <c r="K431" s="54"/>
      <c r="L431" s="55"/>
      <c r="M431" s="54"/>
      <c r="N431" s="53"/>
      <c r="Q431"/>
      <c r="R431"/>
      <c r="S431"/>
      <c r="T431"/>
      <c r="U431"/>
      <c r="V431"/>
      <c r="W431"/>
      <c r="X431"/>
    </row>
    <row r="432" spans="2:24" ht="21.95" customHeight="1" x14ac:dyDescent="0.25">
      <c r="B432" s="184"/>
      <c r="D432" s="219" t="str">
        <f>TEXT(VLOOKUP(B434,tDatos[],IF(UTCElegido="",3,12),0),"dddd dd mmmm")</f>
        <v>sábado 27 Junio</v>
      </c>
      <c r="E432" s="219"/>
      <c r="F432" s="219"/>
      <c r="G432" s="219"/>
      <c r="H432" s="219"/>
      <c r="I432" s="219"/>
      <c r="J432" s="219"/>
      <c r="K432" s="219"/>
      <c r="L432" s="219"/>
      <c r="M432" s="219"/>
      <c r="N432" s="219"/>
      <c r="Q432"/>
      <c r="R432"/>
      <c r="S432"/>
      <c r="T432"/>
      <c r="U432"/>
      <c r="V432"/>
      <c r="W432"/>
      <c r="X432"/>
    </row>
    <row r="433" spans="2:24" ht="5.0999999999999996" customHeight="1" x14ac:dyDescent="0.25">
      <c r="B433" s="184"/>
      <c r="D433" s="74"/>
      <c r="E433" s="72"/>
      <c r="F433" s="73"/>
      <c r="G433" s="72"/>
      <c r="H433" s="72"/>
      <c r="I433" s="72"/>
      <c r="J433" s="72"/>
      <c r="K433" s="72"/>
      <c r="L433" s="73"/>
      <c r="M433" s="72"/>
      <c r="N433" s="71"/>
      <c r="Q433"/>
      <c r="R433"/>
      <c r="S433"/>
      <c r="T433"/>
      <c r="U433"/>
      <c r="V433"/>
      <c r="W433"/>
      <c r="X433"/>
    </row>
    <row r="434" spans="2:24" ht="21.95" customHeight="1" x14ac:dyDescent="0.25">
      <c r="B434" s="182">
        <v>72</v>
      </c>
      <c r="C434" s="129">
        <v>70</v>
      </c>
      <c r="D434" s="64"/>
      <c r="E434" s="222">
        <f>VLOOKUP(B434,tDatos[],IF(UTCElegido="",4,12),0)</f>
        <v>0.91666666666666663</v>
      </c>
      <c r="F434" s="222"/>
      <c r="G434" s="222"/>
      <c r="H434" s="65"/>
      <c r="I434" s="65"/>
      <c r="J434" s="65"/>
      <c r="K434" s="70"/>
      <c r="L434" s="69"/>
      <c r="M434"/>
      <c r="N434" s="57"/>
      <c r="Q434"/>
      <c r="R434"/>
      <c r="S434"/>
      <c r="T434"/>
      <c r="U434"/>
      <c r="V434"/>
      <c r="W434"/>
      <c r="X434"/>
    </row>
    <row r="435" spans="2:24" ht="21.95" customHeight="1" x14ac:dyDescent="0.25">
      <c r="B435" s="184"/>
      <c r="D435" s="64"/>
      <c r="E435" s="65"/>
      <c r="F435" s="68" t="s">
        <v>91</v>
      </c>
      <c r="G435" s="220">
        <v>1</v>
      </c>
      <c r="H435" s="221"/>
      <c r="I435" s="67" t="s">
        <v>0</v>
      </c>
      <c r="J435" s="220">
        <v>3</v>
      </c>
      <c r="K435" s="221"/>
      <c r="L435" s="66" t="s">
        <v>90</v>
      </c>
      <c r="M435" s="65"/>
      <c r="N435" s="57"/>
      <c r="Q435"/>
      <c r="R435"/>
      <c r="S435"/>
      <c r="T435"/>
      <c r="U435"/>
      <c r="V435"/>
      <c r="W435"/>
      <c r="X435"/>
    </row>
    <row r="436" spans="2:24" ht="20.100000000000001" customHeight="1" x14ac:dyDescent="0.25">
      <c r="B436" s="184"/>
      <c r="D436" s="64"/>
      <c r="E436" s="58"/>
      <c r="F436" s="59"/>
      <c r="G436" s="63"/>
      <c r="H436" s="60"/>
      <c r="I436" s="62" t="s">
        <v>376</v>
      </c>
      <c r="J436" s="61"/>
      <c r="K436" s="60"/>
      <c r="L436" s="59"/>
      <c r="M436" s="58"/>
      <c r="N436" s="57"/>
      <c r="Q436"/>
      <c r="R436"/>
      <c r="S436"/>
      <c r="T436"/>
      <c r="U436"/>
      <c r="V436"/>
      <c r="W436"/>
      <c r="X436"/>
    </row>
    <row r="437" spans="2:24" ht="5.0999999999999996" customHeight="1" x14ac:dyDescent="0.25">
      <c r="B437" s="184"/>
      <c r="D437" s="56"/>
      <c r="E437" s="54"/>
      <c r="F437" s="55"/>
      <c r="G437" s="54"/>
      <c r="H437" s="54"/>
      <c r="I437" s="54"/>
      <c r="J437" s="54"/>
      <c r="K437" s="54"/>
      <c r="L437" s="55"/>
      <c r="M437" s="54"/>
      <c r="N437" s="53"/>
    </row>
    <row r="438" spans="2:24" x14ac:dyDescent="0.25">
      <c r="B438" s="184"/>
    </row>
    <row r="439" spans="2:24" x14ac:dyDescent="0.25">
      <c r="B439" s="184"/>
    </row>
    <row r="440" spans="2:24" x14ac:dyDescent="0.25">
      <c r="B440" s="184"/>
    </row>
    <row r="441" spans="2:24" x14ac:dyDescent="0.25">
      <c r="B441" s="184"/>
    </row>
    <row r="442" spans="2:24" x14ac:dyDescent="0.25">
      <c r="B442" s="184"/>
    </row>
    <row r="443" spans="2:24" x14ac:dyDescent="0.25">
      <c r="B443" s="184"/>
    </row>
    <row r="444" spans="2:24" x14ac:dyDescent="0.25">
      <c r="B444" s="184"/>
    </row>
    <row r="445" spans="2:24" x14ac:dyDescent="0.25">
      <c r="B445" s="184"/>
    </row>
    <row r="446" spans="2:24" x14ac:dyDescent="0.25">
      <c r="B446" s="184"/>
    </row>
    <row r="447" spans="2:24" x14ac:dyDescent="0.25">
      <c r="B447" s="184"/>
    </row>
    <row r="448" spans="2:24" x14ac:dyDescent="0.25">
      <c r="B448" s="184"/>
    </row>
  </sheetData>
  <sheetProtection sheet="1" objects="1" scenarios="1"/>
  <mergeCells count="288">
    <mergeCell ref="G411:H411"/>
    <mergeCell ref="J411:K411"/>
    <mergeCell ref="E392:G392"/>
    <mergeCell ref="E398:G398"/>
    <mergeCell ref="E404:G404"/>
    <mergeCell ref="D390:N390"/>
    <mergeCell ref="G435:H435"/>
    <mergeCell ref="J435:K435"/>
    <mergeCell ref="E428:G428"/>
    <mergeCell ref="E434:G434"/>
    <mergeCell ref="G417:H417"/>
    <mergeCell ref="J417:K417"/>
    <mergeCell ref="E422:G422"/>
    <mergeCell ref="E410:G410"/>
    <mergeCell ref="E416:G416"/>
    <mergeCell ref="D432:N432"/>
    <mergeCell ref="G423:H423"/>
    <mergeCell ref="J423:K423"/>
    <mergeCell ref="G429:H429"/>
    <mergeCell ref="J429:K429"/>
    <mergeCell ref="D414:N414"/>
    <mergeCell ref="D420:N420"/>
    <mergeCell ref="D426:N426"/>
    <mergeCell ref="D312:N312"/>
    <mergeCell ref="D318:N318"/>
    <mergeCell ref="D324:N324"/>
    <mergeCell ref="D336:N336"/>
    <mergeCell ref="D342:N342"/>
    <mergeCell ref="E314:G314"/>
    <mergeCell ref="G387:H387"/>
    <mergeCell ref="J387:K387"/>
    <mergeCell ref="G393:H393"/>
    <mergeCell ref="J393:K393"/>
    <mergeCell ref="J333:K333"/>
    <mergeCell ref="G339:H339"/>
    <mergeCell ref="J339:K339"/>
    <mergeCell ref="G345:H345"/>
    <mergeCell ref="J345:K345"/>
    <mergeCell ref="J315:K315"/>
    <mergeCell ref="G321:H321"/>
    <mergeCell ref="J321:K321"/>
    <mergeCell ref="G327:H327"/>
    <mergeCell ref="J327:K327"/>
    <mergeCell ref="E320:G320"/>
    <mergeCell ref="E326:G326"/>
    <mergeCell ref="G315:H315"/>
    <mergeCell ref="D330:N330"/>
    <mergeCell ref="G237:H237"/>
    <mergeCell ref="J237:K237"/>
    <mergeCell ref="J207:K207"/>
    <mergeCell ref="G213:H213"/>
    <mergeCell ref="J213:K213"/>
    <mergeCell ref="G219:H219"/>
    <mergeCell ref="J219:K219"/>
    <mergeCell ref="E212:G212"/>
    <mergeCell ref="E218:G218"/>
    <mergeCell ref="E224:G224"/>
    <mergeCell ref="E230:G230"/>
    <mergeCell ref="E236:G236"/>
    <mergeCell ref="G207:H207"/>
    <mergeCell ref="D216:N216"/>
    <mergeCell ref="D144:N144"/>
    <mergeCell ref="D156:N156"/>
    <mergeCell ref="D162:N162"/>
    <mergeCell ref="J171:K171"/>
    <mergeCell ref="G177:H177"/>
    <mergeCell ref="J177:K177"/>
    <mergeCell ref="G183:H183"/>
    <mergeCell ref="J183:K183"/>
    <mergeCell ref="E182:G182"/>
    <mergeCell ref="E176:G176"/>
    <mergeCell ref="J153:K153"/>
    <mergeCell ref="G159:H159"/>
    <mergeCell ref="J159:K159"/>
    <mergeCell ref="G165:H165"/>
    <mergeCell ref="J165:K165"/>
    <mergeCell ref="E152:G152"/>
    <mergeCell ref="E158:G158"/>
    <mergeCell ref="E164:G164"/>
    <mergeCell ref="G147:H147"/>
    <mergeCell ref="D168:N168"/>
    <mergeCell ref="D180:N180"/>
    <mergeCell ref="J9:K9"/>
    <mergeCell ref="G15:H15"/>
    <mergeCell ref="J15:K15"/>
    <mergeCell ref="G21:H21"/>
    <mergeCell ref="J21:K21"/>
    <mergeCell ref="G27:H27"/>
    <mergeCell ref="J27:K27"/>
    <mergeCell ref="G33:H33"/>
    <mergeCell ref="J69:K69"/>
    <mergeCell ref="J45:K45"/>
    <mergeCell ref="G51:H51"/>
    <mergeCell ref="J51:K51"/>
    <mergeCell ref="G57:H57"/>
    <mergeCell ref="J57:K57"/>
    <mergeCell ref="E62:G62"/>
    <mergeCell ref="E68:G68"/>
    <mergeCell ref="D36:N36"/>
    <mergeCell ref="D42:N42"/>
    <mergeCell ref="D54:N54"/>
    <mergeCell ref="D60:N60"/>
    <mergeCell ref="D66:N66"/>
    <mergeCell ref="E20:G20"/>
    <mergeCell ref="E26:G26"/>
    <mergeCell ref="E32:G32"/>
    <mergeCell ref="E296:G296"/>
    <mergeCell ref="G279:H279"/>
    <mergeCell ref="E254:G254"/>
    <mergeCell ref="E260:G260"/>
    <mergeCell ref="E266:G266"/>
    <mergeCell ref="G261:H261"/>
    <mergeCell ref="G309:H309"/>
    <mergeCell ref="D264:N264"/>
    <mergeCell ref="D294:N294"/>
    <mergeCell ref="J279:K279"/>
    <mergeCell ref="G285:H285"/>
    <mergeCell ref="J285:K285"/>
    <mergeCell ref="G291:H291"/>
    <mergeCell ref="J291:K291"/>
    <mergeCell ref="E302:G302"/>
    <mergeCell ref="G297:H297"/>
    <mergeCell ref="J297:K297"/>
    <mergeCell ref="G303:H303"/>
    <mergeCell ref="J303:K303"/>
    <mergeCell ref="J309:K309"/>
    <mergeCell ref="G255:H255"/>
    <mergeCell ref="J255:K255"/>
    <mergeCell ref="J261:K261"/>
    <mergeCell ref="E308:G308"/>
    <mergeCell ref="J141:K141"/>
    <mergeCell ref="J147:K147"/>
    <mergeCell ref="E188:G188"/>
    <mergeCell ref="E194:G194"/>
    <mergeCell ref="E200:G200"/>
    <mergeCell ref="E386:G386"/>
    <mergeCell ref="G369:H369"/>
    <mergeCell ref="E332:G332"/>
    <mergeCell ref="E338:G338"/>
    <mergeCell ref="E344:G344"/>
    <mergeCell ref="E350:G350"/>
    <mergeCell ref="E356:G356"/>
    <mergeCell ref="G333:H333"/>
    <mergeCell ref="G351:H351"/>
    <mergeCell ref="D366:N366"/>
    <mergeCell ref="J369:K369"/>
    <mergeCell ref="G375:H375"/>
    <mergeCell ref="J375:K375"/>
    <mergeCell ref="G381:H381"/>
    <mergeCell ref="J381:K381"/>
    <mergeCell ref="J351:K351"/>
    <mergeCell ref="G357:H357"/>
    <mergeCell ref="J357:K357"/>
    <mergeCell ref="G363:H363"/>
    <mergeCell ref="J33:K33"/>
    <mergeCell ref="J39:K39"/>
    <mergeCell ref="G45:H45"/>
    <mergeCell ref="J75:K75"/>
    <mergeCell ref="J99:K99"/>
    <mergeCell ref="J105:K105"/>
    <mergeCell ref="J81:K81"/>
    <mergeCell ref="J87:K87"/>
    <mergeCell ref="J93:K93"/>
    <mergeCell ref="D72:N72"/>
    <mergeCell ref="D84:N84"/>
    <mergeCell ref="D90:N90"/>
    <mergeCell ref="D96:N96"/>
    <mergeCell ref="E8:G8"/>
    <mergeCell ref="E104:G104"/>
    <mergeCell ref="E110:G110"/>
    <mergeCell ref="E116:G116"/>
    <mergeCell ref="E122:G122"/>
    <mergeCell ref="E80:G80"/>
    <mergeCell ref="E86:G86"/>
    <mergeCell ref="E92:G92"/>
    <mergeCell ref="E98:G98"/>
    <mergeCell ref="G81:H81"/>
    <mergeCell ref="G39:H39"/>
    <mergeCell ref="G69:H69"/>
    <mergeCell ref="G99:H99"/>
    <mergeCell ref="E14:G14"/>
    <mergeCell ref="E74:G74"/>
    <mergeCell ref="G9:H9"/>
    <mergeCell ref="G75:H75"/>
    <mergeCell ref="G105:H105"/>
    <mergeCell ref="G111:H111"/>
    <mergeCell ref="G87:H87"/>
    <mergeCell ref="G93:H93"/>
    <mergeCell ref="D12:N12"/>
    <mergeCell ref="D24:N24"/>
    <mergeCell ref="J63:K63"/>
    <mergeCell ref="D6:N6"/>
    <mergeCell ref="D18:N18"/>
    <mergeCell ref="D30:N30"/>
    <mergeCell ref="D48:N48"/>
    <mergeCell ref="D78:N78"/>
    <mergeCell ref="D102:N102"/>
    <mergeCell ref="D120:N120"/>
    <mergeCell ref="D150:N150"/>
    <mergeCell ref="D174:N174"/>
    <mergeCell ref="E170:G170"/>
    <mergeCell ref="G117:H117"/>
    <mergeCell ref="E38:G38"/>
    <mergeCell ref="E44:G44"/>
    <mergeCell ref="E50:G50"/>
    <mergeCell ref="E56:G56"/>
    <mergeCell ref="G63:H63"/>
    <mergeCell ref="G171:H171"/>
    <mergeCell ref="E128:G128"/>
    <mergeCell ref="E134:G134"/>
    <mergeCell ref="E140:G140"/>
    <mergeCell ref="E146:G146"/>
    <mergeCell ref="G135:H135"/>
    <mergeCell ref="G153:H153"/>
    <mergeCell ref="G141:H141"/>
    <mergeCell ref="D108:N108"/>
    <mergeCell ref="D114:N114"/>
    <mergeCell ref="D126:N126"/>
    <mergeCell ref="D132:N132"/>
    <mergeCell ref="D138:N138"/>
    <mergeCell ref="J111:K111"/>
    <mergeCell ref="J135:K135"/>
    <mergeCell ref="J117:K117"/>
    <mergeCell ref="G123:H123"/>
    <mergeCell ref="J123:K123"/>
    <mergeCell ref="G129:H129"/>
    <mergeCell ref="J129:K129"/>
    <mergeCell ref="D186:N186"/>
    <mergeCell ref="D198:N198"/>
    <mergeCell ref="D204:N204"/>
    <mergeCell ref="D210:N210"/>
    <mergeCell ref="D222:N222"/>
    <mergeCell ref="D228:N228"/>
    <mergeCell ref="D234:N234"/>
    <mergeCell ref="G225:H225"/>
    <mergeCell ref="J189:K189"/>
    <mergeCell ref="G195:H195"/>
    <mergeCell ref="J195:K195"/>
    <mergeCell ref="G189:H189"/>
    <mergeCell ref="D192:N192"/>
    <mergeCell ref="J201:K201"/>
    <mergeCell ref="E206:G206"/>
    <mergeCell ref="J225:K225"/>
    <mergeCell ref="G231:H231"/>
    <mergeCell ref="J231:K231"/>
    <mergeCell ref="G201:H201"/>
    <mergeCell ref="D240:N240"/>
    <mergeCell ref="D252:N252"/>
    <mergeCell ref="D258:N258"/>
    <mergeCell ref="D270:N270"/>
    <mergeCell ref="D276:N276"/>
    <mergeCell ref="D282:N282"/>
    <mergeCell ref="D288:N288"/>
    <mergeCell ref="D300:N300"/>
    <mergeCell ref="D306:N306"/>
    <mergeCell ref="E242:G242"/>
    <mergeCell ref="E248:G248"/>
    <mergeCell ref="G243:H243"/>
    <mergeCell ref="E278:G278"/>
    <mergeCell ref="E284:G284"/>
    <mergeCell ref="E290:G290"/>
    <mergeCell ref="J243:K243"/>
    <mergeCell ref="G249:H249"/>
    <mergeCell ref="J249:K249"/>
    <mergeCell ref="G267:H267"/>
    <mergeCell ref="J267:K267"/>
    <mergeCell ref="G273:H273"/>
    <mergeCell ref="J273:K273"/>
    <mergeCell ref="E272:G272"/>
    <mergeCell ref="D246:N246"/>
    <mergeCell ref="D348:N348"/>
    <mergeCell ref="D354:N354"/>
    <mergeCell ref="D360:N360"/>
    <mergeCell ref="D372:N372"/>
    <mergeCell ref="D378:N378"/>
    <mergeCell ref="D384:N384"/>
    <mergeCell ref="D396:N396"/>
    <mergeCell ref="D402:N402"/>
    <mergeCell ref="D408:N408"/>
    <mergeCell ref="J363:K363"/>
    <mergeCell ref="E362:G362"/>
    <mergeCell ref="E368:G368"/>
    <mergeCell ref="E374:G374"/>
    <mergeCell ref="E380:G380"/>
    <mergeCell ref="G405:H405"/>
    <mergeCell ref="G399:H399"/>
    <mergeCell ref="J399:K399"/>
    <mergeCell ref="J405:K405"/>
  </mergeCells>
  <conditionalFormatting sqref="H10 H16:H17 K16:K17">
    <cfRule type="expression" dxfId="475" priority="425">
      <formula>E10="E"</formula>
    </cfRule>
    <cfRule type="expression" dxfId="474" priority="426">
      <formula>E10="G"</formula>
    </cfRule>
    <cfRule type="expression" dxfId="473" priority="424">
      <formula>E10="P"</formula>
    </cfRule>
  </conditionalFormatting>
  <conditionalFormatting sqref="H22">
    <cfRule type="expression" dxfId="472" priority="420">
      <formula>E22="G"</formula>
    </cfRule>
    <cfRule type="expression" dxfId="471" priority="419">
      <formula>E22="E"</formula>
    </cfRule>
    <cfRule type="expression" dxfId="470" priority="418">
      <formula>E22="P"</formula>
    </cfRule>
  </conditionalFormatting>
  <conditionalFormatting sqref="H28">
    <cfRule type="expression" dxfId="469" priority="414">
      <formula>E28="G"</formula>
    </cfRule>
    <cfRule type="expression" dxfId="468" priority="413">
      <formula>E28="E"</formula>
    </cfRule>
    <cfRule type="expression" dxfId="467" priority="412">
      <formula>E28="P"</formula>
    </cfRule>
  </conditionalFormatting>
  <conditionalFormatting sqref="H34">
    <cfRule type="expression" dxfId="466" priority="408">
      <formula>E34="G"</formula>
    </cfRule>
    <cfRule type="expression" dxfId="465" priority="407">
      <formula>E34="E"</formula>
    </cfRule>
    <cfRule type="expression" dxfId="464" priority="406">
      <formula>E34="P"</formula>
    </cfRule>
  </conditionalFormatting>
  <conditionalFormatting sqref="H40">
    <cfRule type="expression" dxfId="463" priority="402">
      <formula>E40="G"</formula>
    </cfRule>
    <cfRule type="expression" dxfId="462" priority="401">
      <formula>E40="E"</formula>
    </cfRule>
    <cfRule type="expression" dxfId="461" priority="400">
      <formula>E40="P"</formula>
    </cfRule>
  </conditionalFormatting>
  <conditionalFormatting sqref="H46">
    <cfRule type="expression" dxfId="460" priority="396">
      <formula>E46="G"</formula>
    </cfRule>
    <cfRule type="expression" dxfId="459" priority="395">
      <formula>E46="E"</formula>
    </cfRule>
    <cfRule type="expression" dxfId="458" priority="394">
      <formula>E46="P"</formula>
    </cfRule>
  </conditionalFormatting>
  <conditionalFormatting sqref="H52">
    <cfRule type="expression" dxfId="457" priority="390">
      <formula>E52="G"</formula>
    </cfRule>
    <cfRule type="expression" dxfId="456" priority="389">
      <formula>E52="E"</formula>
    </cfRule>
    <cfRule type="expression" dxfId="455" priority="388">
      <formula>E52="P"</formula>
    </cfRule>
  </conditionalFormatting>
  <conditionalFormatting sqref="H58">
    <cfRule type="expression" dxfId="454" priority="383">
      <formula>E58="E"</formula>
    </cfRule>
    <cfRule type="expression" dxfId="453" priority="382">
      <formula>E58="P"</formula>
    </cfRule>
    <cfRule type="expression" dxfId="452" priority="384">
      <formula>E58="G"</formula>
    </cfRule>
  </conditionalFormatting>
  <conditionalFormatting sqref="H64">
    <cfRule type="expression" dxfId="451" priority="377">
      <formula>E64="E"</formula>
    </cfRule>
    <cfRule type="expression" dxfId="450" priority="376">
      <formula>E64="P"</formula>
    </cfRule>
    <cfRule type="expression" dxfId="449" priority="378">
      <formula>E64="G"</formula>
    </cfRule>
  </conditionalFormatting>
  <conditionalFormatting sqref="H70">
    <cfRule type="expression" dxfId="448" priority="371">
      <formula>E70="E"</formula>
    </cfRule>
    <cfRule type="expression" dxfId="447" priority="372">
      <formula>E70="G"</formula>
    </cfRule>
    <cfRule type="expression" dxfId="446" priority="370">
      <formula>E70="P"</formula>
    </cfRule>
  </conditionalFormatting>
  <conditionalFormatting sqref="H76">
    <cfRule type="expression" dxfId="445" priority="364">
      <formula>E76="P"</formula>
    </cfRule>
    <cfRule type="expression" dxfId="444" priority="366">
      <formula>E76="G"</formula>
    </cfRule>
    <cfRule type="expression" dxfId="443" priority="365">
      <formula>E76="E"</formula>
    </cfRule>
  </conditionalFormatting>
  <conditionalFormatting sqref="H82">
    <cfRule type="expression" dxfId="442" priority="360">
      <formula>E82="G"</formula>
    </cfRule>
    <cfRule type="expression" dxfId="441" priority="359">
      <formula>E82="E"</formula>
    </cfRule>
    <cfRule type="expression" dxfId="440" priority="358">
      <formula>E82="P"</formula>
    </cfRule>
  </conditionalFormatting>
  <conditionalFormatting sqref="H88">
    <cfRule type="expression" dxfId="439" priority="352">
      <formula>E88="P"</formula>
    </cfRule>
    <cfRule type="expression" dxfId="438" priority="354">
      <formula>E88="G"</formula>
    </cfRule>
    <cfRule type="expression" dxfId="437" priority="353">
      <formula>E88="E"</formula>
    </cfRule>
  </conditionalFormatting>
  <conditionalFormatting sqref="H94">
    <cfRule type="expression" dxfId="436" priority="346">
      <formula>E94="P"</formula>
    </cfRule>
    <cfRule type="expression" dxfId="435" priority="347">
      <formula>E94="E"</formula>
    </cfRule>
    <cfRule type="expression" dxfId="434" priority="348">
      <formula>E94="G"</formula>
    </cfRule>
  </conditionalFormatting>
  <conditionalFormatting sqref="H100">
    <cfRule type="expression" dxfId="433" priority="341">
      <formula>E100="E"</formula>
    </cfRule>
    <cfRule type="expression" dxfId="432" priority="342">
      <formula>E100="G"</formula>
    </cfRule>
    <cfRule type="expression" dxfId="431" priority="340">
      <formula>E100="P"</formula>
    </cfRule>
  </conditionalFormatting>
  <conditionalFormatting sqref="H106">
    <cfRule type="expression" dxfId="430" priority="336">
      <formula>E106="G"</formula>
    </cfRule>
    <cfRule type="expression" dxfId="429" priority="335">
      <formula>E106="E"</formula>
    </cfRule>
    <cfRule type="expression" dxfId="428" priority="334">
      <formula>E106="P"</formula>
    </cfRule>
  </conditionalFormatting>
  <conditionalFormatting sqref="H112">
    <cfRule type="expression" dxfId="427" priority="328">
      <formula>E112="P"</formula>
    </cfRule>
    <cfRule type="expression" dxfId="426" priority="329">
      <formula>E112="E"</formula>
    </cfRule>
    <cfRule type="expression" dxfId="425" priority="330">
      <formula>E112="G"</formula>
    </cfRule>
  </conditionalFormatting>
  <conditionalFormatting sqref="H118">
    <cfRule type="expression" dxfId="424" priority="324">
      <formula>E118="G"</formula>
    </cfRule>
    <cfRule type="expression" dxfId="423" priority="323">
      <formula>E118="E"</formula>
    </cfRule>
    <cfRule type="expression" dxfId="422" priority="322">
      <formula>E118="P"</formula>
    </cfRule>
  </conditionalFormatting>
  <conditionalFormatting sqref="H124">
    <cfRule type="expression" dxfId="421" priority="316">
      <formula>E124="P"</formula>
    </cfRule>
    <cfRule type="expression" dxfId="420" priority="317">
      <formula>E124="E"</formula>
    </cfRule>
    <cfRule type="expression" dxfId="419" priority="318">
      <formula>E124="G"</formula>
    </cfRule>
  </conditionalFormatting>
  <conditionalFormatting sqref="H130">
    <cfRule type="expression" dxfId="418" priority="312">
      <formula>E130="G"</formula>
    </cfRule>
    <cfRule type="expression" dxfId="417" priority="311">
      <formula>E130="E"</formula>
    </cfRule>
    <cfRule type="expression" dxfId="416" priority="310">
      <formula>E130="P"</formula>
    </cfRule>
  </conditionalFormatting>
  <conditionalFormatting sqref="H136">
    <cfRule type="expression" dxfId="415" priority="305">
      <formula>E136="E"</formula>
    </cfRule>
    <cfRule type="expression" dxfId="414" priority="304">
      <formula>E136="P"</formula>
    </cfRule>
    <cfRule type="expression" dxfId="413" priority="306">
      <formula>E136="G"</formula>
    </cfRule>
  </conditionalFormatting>
  <conditionalFormatting sqref="H142">
    <cfRule type="expression" dxfId="412" priority="299">
      <formula>E142="E"</formula>
    </cfRule>
    <cfRule type="expression" dxfId="411" priority="298">
      <formula>E142="P"</formula>
    </cfRule>
    <cfRule type="expression" dxfId="410" priority="300">
      <formula>E142="G"</formula>
    </cfRule>
  </conditionalFormatting>
  <conditionalFormatting sqref="H148">
    <cfRule type="expression" dxfId="409" priority="294">
      <formula>E148="G"</formula>
    </cfRule>
    <cfRule type="expression" dxfId="408" priority="293">
      <formula>E148="E"</formula>
    </cfRule>
    <cfRule type="expression" dxfId="407" priority="292">
      <formula>E148="P"</formula>
    </cfRule>
  </conditionalFormatting>
  <conditionalFormatting sqref="H154">
    <cfRule type="expression" dxfId="406" priority="288">
      <formula>E154="G"</formula>
    </cfRule>
    <cfRule type="expression" dxfId="405" priority="287">
      <formula>E154="E"</formula>
    </cfRule>
    <cfRule type="expression" dxfId="404" priority="286">
      <formula>E154="P"</formula>
    </cfRule>
  </conditionalFormatting>
  <conditionalFormatting sqref="H160">
    <cfRule type="expression" dxfId="403" priority="282">
      <formula>E160="G"</formula>
    </cfRule>
    <cfRule type="expression" dxfId="402" priority="281">
      <formula>E160="E"</formula>
    </cfRule>
    <cfRule type="expression" dxfId="401" priority="280">
      <formula>E160="P"</formula>
    </cfRule>
  </conditionalFormatting>
  <conditionalFormatting sqref="H166">
    <cfRule type="expression" dxfId="400" priority="276">
      <formula>E166="G"</formula>
    </cfRule>
    <cfRule type="expression" dxfId="399" priority="274">
      <formula>E166="P"</formula>
    </cfRule>
    <cfRule type="expression" dxfId="398" priority="275">
      <formula>E166="E"</formula>
    </cfRule>
  </conditionalFormatting>
  <conditionalFormatting sqref="H172">
    <cfRule type="expression" dxfId="397" priority="268">
      <formula>E172="P"</formula>
    </cfRule>
    <cfRule type="expression" dxfId="396" priority="269">
      <formula>E172="E"</formula>
    </cfRule>
    <cfRule type="expression" dxfId="395" priority="270">
      <formula>E172="G"</formula>
    </cfRule>
  </conditionalFormatting>
  <conditionalFormatting sqref="H178">
    <cfRule type="expression" dxfId="394" priority="262">
      <formula>E178="P"</formula>
    </cfRule>
    <cfRule type="expression" dxfId="393" priority="263">
      <formula>E178="E"</formula>
    </cfRule>
    <cfRule type="expression" dxfId="392" priority="264">
      <formula>E178="G"</formula>
    </cfRule>
  </conditionalFormatting>
  <conditionalFormatting sqref="H184">
    <cfRule type="expression" dxfId="391" priority="256">
      <formula>E184="P"</formula>
    </cfRule>
    <cfRule type="expression" dxfId="390" priority="257">
      <formula>E184="E"</formula>
    </cfRule>
    <cfRule type="expression" dxfId="389" priority="258">
      <formula>E184="G"</formula>
    </cfRule>
  </conditionalFormatting>
  <conditionalFormatting sqref="H190">
    <cfRule type="expression" dxfId="388" priority="251">
      <formula>E190="E"</formula>
    </cfRule>
    <cfRule type="expression" dxfId="387" priority="252">
      <formula>E190="G"</formula>
    </cfRule>
    <cfRule type="expression" dxfId="386" priority="250">
      <formula>E190="P"</formula>
    </cfRule>
  </conditionalFormatting>
  <conditionalFormatting sqref="H196">
    <cfRule type="expression" dxfId="385" priority="245">
      <formula>E196="E"</formula>
    </cfRule>
    <cfRule type="expression" dxfId="384" priority="244">
      <formula>E196="P"</formula>
    </cfRule>
    <cfRule type="expression" dxfId="383" priority="246">
      <formula>E196="G"</formula>
    </cfRule>
  </conditionalFormatting>
  <conditionalFormatting sqref="H202">
    <cfRule type="expression" dxfId="382" priority="240">
      <formula>E202="G"</formula>
    </cfRule>
    <cfRule type="expression" dxfId="381" priority="239">
      <formula>E202="E"</formula>
    </cfRule>
    <cfRule type="expression" dxfId="380" priority="238">
      <formula>E202="P"</formula>
    </cfRule>
  </conditionalFormatting>
  <conditionalFormatting sqref="H208">
    <cfRule type="expression" dxfId="379" priority="234">
      <formula>E208="G"</formula>
    </cfRule>
    <cfRule type="expression" dxfId="378" priority="233">
      <formula>E208="E"</formula>
    </cfRule>
    <cfRule type="expression" dxfId="377" priority="232">
      <formula>E208="P"</formula>
    </cfRule>
  </conditionalFormatting>
  <conditionalFormatting sqref="H214">
    <cfRule type="expression" dxfId="376" priority="228">
      <formula>E214="G"</formula>
    </cfRule>
    <cfRule type="expression" dxfId="375" priority="227">
      <formula>E214="E"</formula>
    </cfRule>
    <cfRule type="expression" dxfId="374" priority="226">
      <formula>E214="P"</formula>
    </cfRule>
  </conditionalFormatting>
  <conditionalFormatting sqref="H220">
    <cfRule type="expression" dxfId="373" priority="222">
      <formula>E220="G"</formula>
    </cfRule>
    <cfRule type="expression" dxfId="372" priority="221">
      <formula>E220="E"</formula>
    </cfRule>
    <cfRule type="expression" dxfId="371" priority="220">
      <formula>E220="P"</formula>
    </cfRule>
  </conditionalFormatting>
  <conditionalFormatting sqref="H226">
    <cfRule type="expression" dxfId="370" priority="215">
      <formula>E226="E"</formula>
    </cfRule>
    <cfRule type="expression" dxfId="369" priority="214">
      <formula>E226="P"</formula>
    </cfRule>
    <cfRule type="expression" dxfId="368" priority="216">
      <formula>E226="G"</formula>
    </cfRule>
  </conditionalFormatting>
  <conditionalFormatting sqref="H232">
    <cfRule type="expression" dxfId="367" priority="209">
      <formula>E232="E"</formula>
    </cfRule>
    <cfRule type="expression" dxfId="366" priority="208">
      <formula>E232="P"</formula>
    </cfRule>
    <cfRule type="expression" dxfId="365" priority="210">
      <formula>E232="G"</formula>
    </cfRule>
  </conditionalFormatting>
  <conditionalFormatting sqref="H238">
    <cfRule type="expression" dxfId="364" priority="202">
      <formula>E238="P"</formula>
    </cfRule>
    <cfRule type="expression" dxfId="363" priority="204">
      <formula>E238="G"</formula>
    </cfRule>
    <cfRule type="expression" dxfId="362" priority="203">
      <formula>E238="E"</formula>
    </cfRule>
  </conditionalFormatting>
  <conditionalFormatting sqref="H244">
    <cfRule type="expression" dxfId="361" priority="198">
      <formula>E244="G"</formula>
    </cfRule>
    <cfRule type="expression" dxfId="360" priority="197">
      <formula>E244="E"</formula>
    </cfRule>
    <cfRule type="expression" dxfId="359" priority="196">
      <formula>E244="P"</formula>
    </cfRule>
  </conditionalFormatting>
  <conditionalFormatting sqref="H250">
    <cfRule type="expression" dxfId="358" priority="190">
      <formula>E250="P"</formula>
    </cfRule>
    <cfRule type="expression" dxfId="357" priority="192">
      <formula>E250="G"</formula>
    </cfRule>
    <cfRule type="expression" dxfId="356" priority="191">
      <formula>E250="E"</formula>
    </cfRule>
  </conditionalFormatting>
  <conditionalFormatting sqref="H256">
    <cfRule type="expression" dxfId="355" priority="185">
      <formula>E256="E"</formula>
    </cfRule>
    <cfRule type="expression" dxfId="354" priority="184">
      <formula>E256="P"</formula>
    </cfRule>
    <cfRule type="expression" dxfId="353" priority="186">
      <formula>E256="G"</formula>
    </cfRule>
  </conditionalFormatting>
  <conditionalFormatting sqref="H262">
    <cfRule type="expression" dxfId="352" priority="180">
      <formula>E262="G"</formula>
    </cfRule>
    <cfRule type="expression" dxfId="351" priority="179">
      <formula>E262="E"</formula>
    </cfRule>
    <cfRule type="expression" dxfId="350" priority="178">
      <formula>E262="P"</formula>
    </cfRule>
  </conditionalFormatting>
  <conditionalFormatting sqref="H268">
    <cfRule type="expression" dxfId="349" priority="174">
      <formula>E268="G"</formula>
    </cfRule>
    <cfRule type="expression" dxfId="348" priority="173">
      <formula>E268="E"</formula>
    </cfRule>
    <cfRule type="expression" dxfId="347" priority="172">
      <formula>E268="P"</formula>
    </cfRule>
  </conditionalFormatting>
  <conditionalFormatting sqref="H274">
    <cfRule type="expression" dxfId="346" priority="168">
      <formula>E274="G"</formula>
    </cfRule>
    <cfRule type="expression" dxfId="345" priority="167">
      <formula>E274="E"</formula>
    </cfRule>
    <cfRule type="expression" dxfId="344" priority="166">
      <formula>E274="P"</formula>
    </cfRule>
  </conditionalFormatting>
  <conditionalFormatting sqref="H280">
    <cfRule type="expression" dxfId="343" priority="161">
      <formula>E280="E"</formula>
    </cfRule>
    <cfRule type="expression" dxfId="342" priority="162">
      <formula>E280="G"</formula>
    </cfRule>
    <cfRule type="expression" dxfId="341" priority="160">
      <formula>E280="P"</formula>
    </cfRule>
  </conditionalFormatting>
  <conditionalFormatting sqref="H286">
    <cfRule type="expression" dxfId="340" priority="155">
      <formula>E286="E"</formula>
    </cfRule>
    <cfRule type="expression" dxfId="339" priority="154">
      <formula>E286="P"</formula>
    </cfRule>
    <cfRule type="expression" dxfId="338" priority="156">
      <formula>E286="G"</formula>
    </cfRule>
  </conditionalFormatting>
  <conditionalFormatting sqref="H292">
    <cfRule type="expression" dxfId="337" priority="148">
      <formula>E292="P"</formula>
    </cfRule>
    <cfRule type="expression" dxfId="336" priority="149">
      <formula>E292="E"</formula>
    </cfRule>
    <cfRule type="expression" dxfId="335" priority="150">
      <formula>E292="G"</formula>
    </cfRule>
  </conditionalFormatting>
  <conditionalFormatting sqref="H298">
    <cfRule type="expression" dxfId="334" priority="144">
      <formula>E298="G"</formula>
    </cfRule>
    <cfRule type="expression" dxfId="333" priority="143">
      <formula>E298="E"</formula>
    </cfRule>
    <cfRule type="expression" dxfId="332" priority="142">
      <formula>E298="P"</formula>
    </cfRule>
  </conditionalFormatting>
  <conditionalFormatting sqref="H304">
    <cfRule type="expression" dxfId="331" priority="138">
      <formula>E304="G"</formula>
    </cfRule>
    <cfRule type="expression" dxfId="330" priority="136">
      <formula>E304="P"</formula>
    </cfRule>
    <cfRule type="expression" dxfId="329" priority="137">
      <formula>E304="E"</formula>
    </cfRule>
  </conditionalFormatting>
  <conditionalFormatting sqref="H310">
    <cfRule type="expression" dxfId="328" priority="130">
      <formula>E310="P"</formula>
    </cfRule>
    <cfRule type="expression" dxfId="327" priority="132">
      <formula>E310="G"</formula>
    </cfRule>
    <cfRule type="expression" dxfId="326" priority="131">
      <formula>E310="E"</formula>
    </cfRule>
  </conditionalFormatting>
  <conditionalFormatting sqref="H316">
    <cfRule type="expression" dxfId="325" priority="126">
      <formula>E316="G"</formula>
    </cfRule>
    <cfRule type="expression" dxfId="324" priority="125">
      <formula>E316="E"</formula>
    </cfRule>
    <cfRule type="expression" dxfId="323" priority="124">
      <formula>E316="P"</formula>
    </cfRule>
  </conditionalFormatting>
  <conditionalFormatting sqref="H322">
    <cfRule type="expression" dxfId="322" priority="118">
      <formula>E322="P"</formula>
    </cfRule>
    <cfRule type="expression" dxfId="321" priority="119">
      <formula>E322="E"</formula>
    </cfRule>
    <cfRule type="expression" dxfId="320" priority="120">
      <formula>E322="G"</formula>
    </cfRule>
  </conditionalFormatting>
  <conditionalFormatting sqref="H328">
    <cfRule type="expression" dxfId="319" priority="113">
      <formula>E328="E"</formula>
    </cfRule>
    <cfRule type="expression" dxfId="318" priority="114">
      <formula>E328="G"</formula>
    </cfRule>
    <cfRule type="expression" dxfId="317" priority="112">
      <formula>E328="P"</formula>
    </cfRule>
  </conditionalFormatting>
  <conditionalFormatting sqref="H334">
    <cfRule type="expression" dxfId="316" priority="107">
      <formula>E334="E"</formula>
    </cfRule>
    <cfRule type="expression" dxfId="315" priority="106">
      <formula>E334="P"</formula>
    </cfRule>
    <cfRule type="expression" dxfId="314" priority="108">
      <formula>E334="G"</formula>
    </cfRule>
  </conditionalFormatting>
  <conditionalFormatting sqref="H340">
    <cfRule type="expression" dxfId="313" priority="102">
      <formula>E340="G"</formula>
    </cfRule>
    <cfRule type="expression" dxfId="312" priority="101">
      <formula>E340="E"</formula>
    </cfRule>
    <cfRule type="expression" dxfId="311" priority="100">
      <formula>E340="P"</formula>
    </cfRule>
  </conditionalFormatting>
  <conditionalFormatting sqref="H346">
    <cfRule type="expression" dxfId="310" priority="95">
      <formula>E346="E"</formula>
    </cfRule>
    <cfRule type="expression" dxfId="309" priority="96">
      <formula>E346="G"</formula>
    </cfRule>
    <cfRule type="expression" dxfId="308" priority="94">
      <formula>E346="P"</formula>
    </cfRule>
  </conditionalFormatting>
  <conditionalFormatting sqref="H352">
    <cfRule type="expression" dxfId="307" priority="89">
      <formula>E352="E"</formula>
    </cfRule>
    <cfRule type="expression" dxfId="306" priority="88">
      <formula>E352="P"</formula>
    </cfRule>
    <cfRule type="expression" dxfId="305" priority="90">
      <formula>E352="G"</formula>
    </cfRule>
  </conditionalFormatting>
  <conditionalFormatting sqref="H358">
    <cfRule type="expression" dxfId="304" priority="84">
      <formula>E358="G"</formula>
    </cfRule>
    <cfRule type="expression" dxfId="303" priority="83">
      <formula>E358="E"</formula>
    </cfRule>
    <cfRule type="expression" dxfId="302" priority="82">
      <formula>E358="P"</formula>
    </cfRule>
  </conditionalFormatting>
  <conditionalFormatting sqref="H364">
    <cfRule type="expression" dxfId="301" priority="78">
      <formula>E364="G"</formula>
    </cfRule>
    <cfRule type="expression" dxfId="300" priority="76">
      <formula>E364="P"</formula>
    </cfRule>
    <cfRule type="expression" dxfId="299" priority="77">
      <formula>E364="E"</formula>
    </cfRule>
  </conditionalFormatting>
  <conditionalFormatting sqref="H370">
    <cfRule type="expression" dxfId="298" priority="70">
      <formula>E370="P"</formula>
    </cfRule>
    <cfRule type="expression" dxfId="297" priority="71">
      <formula>E370="E"</formula>
    </cfRule>
    <cfRule type="expression" dxfId="296" priority="72">
      <formula>E370="G"</formula>
    </cfRule>
  </conditionalFormatting>
  <conditionalFormatting sqref="H376">
    <cfRule type="expression" dxfId="295" priority="65">
      <formula>E376="E"</formula>
    </cfRule>
    <cfRule type="expression" dxfId="294" priority="66">
      <formula>E376="G"</formula>
    </cfRule>
    <cfRule type="expression" dxfId="293" priority="64">
      <formula>E376="P"</formula>
    </cfRule>
  </conditionalFormatting>
  <conditionalFormatting sqref="H382">
    <cfRule type="expression" dxfId="292" priority="58">
      <formula>E382="P"</formula>
    </cfRule>
    <cfRule type="expression" dxfId="291" priority="59">
      <formula>E382="E"</formula>
    </cfRule>
    <cfRule type="expression" dxfId="290" priority="60">
      <formula>E382="G"</formula>
    </cfRule>
  </conditionalFormatting>
  <conditionalFormatting sqref="H388">
    <cfRule type="expression" dxfId="289" priority="54">
      <formula>E388="G"</formula>
    </cfRule>
    <cfRule type="expression" dxfId="288" priority="52">
      <formula>E388="P"</formula>
    </cfRule>
    <cfRule type="expression" dxfId="287" priority="53">
      <formula>E388="E"</formula>
    </cfRule>
  </conditionalFormatting>
  <conditionalFormatting sqref="H394">
    <cfRule type="expression" dxfId="286" priority="48">
      <formula>E394="G"</formula>
    </cfRule>
    <cfRule type="expression" dxfId="285" priority="46">
      <formula>E394="P"</formula>
    </cfRule>
    <cfRule type="expression" dxfId="284" priority="47">
      <formula>E394="E"</formula>
    </cfRule>
  </conditionalFormatting>
  <conditionalFormatting sqref="H400">
    <cfRule type="expression" dxfId="283" priority="42">
      <formula>E400="G"</formula>
    </cfRule>
    <cfRule type="expression" dxfId="282" priority="41">
      <formula>E400="E"</formula>
    </cfRule>
    <cfRule type="expression" dxfId="281" priority="40">
      <formula>E400="P"</formula>
    </cfRule>
  </conditionalFormatting>
  <conditionalFormatting sqref="H406">
    <cfRule type="expression" dxfId="280" priority="34">
      <formula>E406="P"</formula>
    </cfRule>
    <cfRule type="expression" dxfId="279" priority="36">
      <formula>E406="G"</formula>
    </cfRule>
    <cfRule type="expression" dxfId="278" priority="35">
      <formula>E406="E"</formula>
    </cfRule>
  </conditionalFormatting>
  <conditionalFormatting sqref="H412">
    <cfRule type="expression" dxfId="277" priority="28">
      <formula>E412="P"</formula>
    </cfRule>
    <cfRule type="expression" dxfId="276" priority="30">
      <formula>E412="G"</formula>
    </cfRule>
    <cfRule type="expression" dxfId="275" priority="29">
      <formula>E412="E"</formula>
    </cfRule>
  </conditionalFormatting>
  <conditionalFormatting sqref="H418">
    <cfRule type="expression" dxfId="274" priority="22">
      <formula>E418="P"</formula>
    </cfRule>
    <cfRule type="expression" dxfId="273" priority="23">
      <formula>E418="E"</formula>
    </cfRule>
    <cfRule type="expression" dxfId="272" priority="24">
      <formula>E418="G"</formula>
    </cfRule>
  </conditionalFormatting>
  <conditionalFormatting sqref="H424">
    <cfRule type="expression" dxfId="271" priority="16">
      <formula>E424="P"</formula>
    </cfRule>
    <cfRule type="expression" dxfId="270" priority="17">
      <formula>E424="E"</formula>
    </cfRule>
    <cfRule type="expression" dxfId="269" priority="18">
      <formula>E424="G"</formula>
    </cfRule>
  </conditionalFormatting>
  <conditionalFormatting sqref="H430">
    <cfRule type="expression" dxfId="268" priority="10">
      <formula>E430="P"</formula>
    </cfRule>
    <cfRule type="expression" dxfId="267" priority="11">
      <formula>E430="E"</formula>
    </cfRule>
    <cfRule type="expression" dxfId="266" priority="12">
      <formula>E430="G"</formula>
    </cfRule>
  </conditionalFormatting>
  <conditionalFormatting sqref="H436">
    <cfRule type="expression" dxfId="265" priority="4">
      <formula>E436="P"</formula>
    </cfRule>
    <cfRule type="expression" dxfId="264" priority="5">
      <formula>E436="E"</formula>
    </cfRule>
    <cfRule type="expression" dxfId="263" priority="6">
      <formula>E436="G"</formula>
    </cfRule>
  </conditionalFormatting>
  <conditionalFormatting sqref="K10">
    <cfRule type="expression" dxfId="262" priority="421">
      <formula>H10="P"</formula>
    </cfRule>
    <cfRule type="expression" dxfId="261" priority="422">
      <formula>H10="E"</formula>
    </cfRule>
    <cfRule type="expression" dxfId="260" priority="423">
      <formula>H10="G"</formula>
    </cfRule>
  </conditionalFormatting>
  <conditionalFormatting sqref="K22">
    <cfRule type="expression" dxfId="259" priority="415">
      <formula>H22="P"</formula>
    </cfRule>
    <cfRule type="expression" dxfId="258" priority="416">
      <formula>H22="E"</formula>
    </cfRule>
    <cfRule type="expression" dxfId="257" priority="417">
      <formula>H22="G"</formula>
    </cfRule>
  </conditionalFormatting>
  <conditionalFormatting sqref="K28">
    <cfRule type="expression" dxfId="256" priority="409">
      <formula>H28="P"</formula>
    </cfRule>
    <cfRule type="expression" dxfId="255" priority="411">
      <formula>H28="G"</formula>
    </cfRule>
    <cfRule type="expression" dxfId="254" priority="410">
      <formula>H28="E"</formula>
    </cfRule>
  </conditionalFormatting>
  <conditionalFormatting sqref="K34">
    <cfRule type="expression" dxfId="253" priority="403">
      <formula>H34="P"</formula>
    </cfRule>
    <cfRule type="expression" dxfId="252" priority="404">
      <formula>H34="E"</formula>
    </cfRule>
    <cfRule type="expression" dxfId="251" priority="405">
      <formula>H34="G"</formula>
    </cfRule>
  </conditionalFormatting>
  <conditionalFormatting sqref="K40">
    <cfRule type="expression" dxfId="250" priority="397">
      <formula>H40="P"</formula>
    </cfRule>
    <cfRule type="expression" dxfId="249" priority="399">
      <formula>H40="G"</formula>
    </cfRule>
    <cfRule type="expression" dxfId="248" priority="398">
      <formula>H40="E"</formula>
    </cfRule>
  </conditionalFormatting>
  <conditionalFormatting sqref="K46">
    <cfRule type="expression" dxfId="247" priority="392">
      <formula>H46="E"</formula>
    </cfRule>
    <cfRule type="expression" dxfId="246" priority="393">
      <formula>H46="G"</formula>
    </cfRule>
    <cfRule type="expression" dxfId="245" priority="391">
      <formula>H46="P"</formula>
    </cfRule>
  </conditionalFormatting>
  <conditionalFormatting sqref="K52">
    <cfRule type="expression" dxfId="244" priority="385">
      <formula>H52="P"</formula>
    </cfRule>
    <cfRule type="expression" dxfId="243" priority="386">
      <formula>H52="E"</formula>
    </cfRule>
    <cfRule type="expression" dxfId="242" priority="387">
      <formula>H52="G"</formula>
    </cfRule>
  </conditionalFormatting>
  <conditionalFormatting sqref="K58">
    <cfRule type="expression" dxfId="241" priority="381">
      <formula>H58="G"</formula>
    </cfRule>
    <cfRule type="expression" dxfId="240" priority="380">
      <formula>H58="E"</formula>
    </cfRule>
    <cfRule type="expression" dxfId="239" priority="379">
      <formula>H58="P"</formula>
    </cfRule>
  </conditionalFormatting>
  <conditionalFormatting sqref="K64">
    <cfRule type="expression" dxfId="238" priority="375">
      <formula>H64="G"</formula>
    </cfRule>
    <cfRule type="expression" dxfId="237" priority="374">
      <formula>H64="E"</formula>
    </cfRule>
    <cfRule type="expression" dxfId="236" priority="373">
      <formula>H64="P"</formula>
    </cfRule>
  </conditionalFormatting>
  <conditionalFormatting sqref="K70">
    <cfRule type="expression" dxfId="235" priority="368">
      <formula>H70="E"</formula>
    </cfRule>
    <cfRule type="expression" dxfId="234" priority="367">
      <formula>H70="P"</formula>
    </cfRule>
    <cfRule type="expression" dxfId="233" priority="369">
      <formula>H70="G"</formula>
    </cfRule>
  </conditionalFormatting>
  <conditionalFormatting sqref="K76">
    <cfRule type="expression" dxfId="232" priority="361">
      <formula>H76="P"</formula>
    </cfRule>
    <cfRule type="expression" dxfId="231" priority="362">
      <formula>H76="E"</formula>
    </cfRule>
    <cfRule type="expression" dxfId="230" priority="363">
      <formula>H76="G"</formula>
    </cfRule>
  </conditionalFormatting>
  <conditionalFormatting sqref="K82">
    <cfRule type="expression" dxfId="229" priority="356">
      <formula>H82="E"</formula>
    </cfRule>
    <cfRule type="expression" dxfId="228" priority="355">
      <formula>H82="P"</formula>
    </cfRule>
    <cfRule type="expression" dxfId="227" priority="357">
      <formula>H82="G"</formula>
    </cfRule>
  </conditionalFormatting>
  <conditionalFormatting sqref="K88">
    <cfRule type="expression" dxfId="226" priority="350">
      <formula>H88="E"</formula>
    </cfRule>
    <cfRule type="expression" dxfId="225" priority="349">
      <formula>H88="P"</formula>
    </cfRule>
    <cfRule type="expression" dxfId="224" priority="351">
      <formula>H88="G"</formula>
    </cfRule>
  </conditionalFormatting>
  <conditionalFormatting sqref="K94">
    <cfRule type="expression" dxfId="223" priority="344">
      <formula>H94="E"</formula>
    </cfRule>
    <cfRule type="expression" dxfId="222" priority="343">
      <formula>H94="P"</formula>
    </cfRule>
    <cfRule type="expression" dxfId="221" priority="345">
      <formula>H94="G"</formula>
    </cfRule>
  </conditionalFormatting>
  <conditionalFormatting sqref="K100">
    <cfRule type="expression" dxfId="220" priority="337">
      <formula>H100="P"</formula>
    </cfRule>
    <cfRule type="expression" dxfId="219" priority="339">
      <formula>H100="G"</formula>
    </cfRule>
    <cfRule type="expression" dxfId="218" priority="338">
      <formula>H100="E"</formula>
    </cfRule>
  </conditionalFormatting>
  <conditionalFormatting sqref="K106">
    <cfRule type="expression" dxfId="217" priority="332">
      <formula>H106="E"</formula>
    </cfRule>
    <cfRule type="expression" dxfId="216" priority="333">
      <formula>H106="G"</formula>
    </cfRule>
    <cfRule type="expression" dxfId="215" priority="331">
      <formula>H106="P"</formula>
    </cfRule>
  </conditionalFormatting>
  <conditionalFormatting sqref="K112">
    <cfRule type="expression" dxfId="214" priority="325">
      <formula>H112="P"</formula>
    </cfRule>
    <cfRule type="expression" dxfId="213" priority="327">
      <formula>H112="G"</formula>
    </cfRule>
    <cfRule type="expression" dxfId="212" priority="326">
      <formula>H112="E"</formula>
    </cfRule>
  </conditionalFormatting>
  <conditionalFormatting sqref="K118">
    <cfRule type="expression" dxfId="211" priority="321">
      <formula>H118="G"</formula>
    </cfRule>
    <cfRule type="expression" dxfId="210" priority="319">
      <formula>H118="P"</formula>
    </cfRule>
    <cfRule type="expression" dxfId="209" priority="320">
      <formula>H118="E"</formula>
    </cfRule>
  </conditionalFormatting>
  <conditionalFormatting sqref="K124">
    <cfRule type="expression" dxfId="208" priority="315">
      <formula>H124="G"</formula>
    </cfRule>
    <cfRule type="expression" dxfId="207" priority="313">
      <formula>H124="P"</formula>
    </cfRule>
    <cfRule type="expression" dxfId="206" priority="314">
      <formula>H124="E"</formula>
    </cfRule>
  </conditionalFormatting>
  <conditionalFormatting sqref="K130">
    <cfRule type="expression" dxfId="205" priority="307">
      <formula>H130="P"</formula>
    </cfRule>
    <cfRule type="expression" dxfId="204" priority="308">
      <formula>H130="E"</formula>
    </cfRule>
    <cfRule type="expression" dxfId="203" priority="309">
      <formula>H130="G"</formula>
    </cfRule>
  </conditionalFormatting>
  <conditionalFormatting sqref="K136">
    <cfRule type="expression" dxfId="202" priority="302">
      <formula>H136="E"</formula>
    </cfRule>
    <cfRule type="expression" dxfId="201" priority="301">
      <formula>H136="P"</formula>
    </cfRule>
    <cfRule type="expression" dxfId="200" priority="303">
      <formula>H136="G"</formula>
    </cfRule>
  </conditionalFormatting>
  <conditionalFormatting sqref="K142">
    <cfRule type="expression" dxfId="199" priority="297">
      <formula>H142="G"</formula>
    </cfRule>
    <cfRule type="expression" dxfId="198" priority="296">
      <formula>H142="E"</formula>
    </cfRule>
    <cfRule type="expression" dxfId="197" priority="295">
      <formula>H142="P"</formula>
    </cfRule>
  </conditionalFormatting>
  <conditionalFormatting sqref="K148">
    <cfRule type="expression" dxfId="196" priority="291">
      <formula>H148="G"</formula>
    </cfRule>
    <cfRule type="expression" dxfId="195" priority="290">
      <formula>H148="E"</formula>
    </cfRule>
    <cfRule type="expression" dxfId="194" priority="289">
      <formula>H148="P"</formula>
    </cfRule>
  </conditionalFormatting>
  <conditionalFormatting sqref="K154">
    <cfRule type="expression" dxfId="193" priority="283">
      <formula>H154="P"</formula>
    </cfRule>
    <cfRule type="expression" dxfId="192" priority="284">
      <formula>H154="E"</formula>
    </cfRule>
    <cfRule type="expression" dxfId="191" priority="285">
      <formula>H154="G"</formula>
    </cfRule>
  </conditionalFormatting>
  <conditionalFormatting sqref="K160">
    <cfRule type="expression" dxfId="190" priority="277">
      <formula>H160="P"</formula>
    </cfRule>
    <cfRule type="expression" dxfId="189" priority="279">
      <formula>H160="G"</formula>
    </cfRule>
    <cfRule type="expression" dxfId="188" priority="278">
      <formula>H160="E"</formula>
    </cfRule>
  </conditionalFormatting>
  <conditionalFormatting sqref="K166">
    <cfRule type="expression" dxfId="187" priority="273">
      <formula>H166="G"</formula>
    </cfRule>
    <cfRule type="expression" dxfId="186" priority="271">
      <formula>H166="P"</formula>
    </cfRule>
    <cfRule type="expression" dxfId="185" priority="272">
      <formula>H166="E"</formula>
    </cfRule>
  </conditionalFormatting>
  <conditionalFormatting sqref="K172">
    <cfRule type="expression" dxfId="184" priority="265">
      <formula>H172="P"</formula>
    </cfRule>
    <cfRule type="expression" dxfId="183" priority="266">
      <formula>H172="E"</formula>
    </cfRule>
    <cfRule type="expression" dxfId="182" priority="267">
      <formula>H172="G"</formula>
    </cfRule>
  </conditionalFormatting>
  <conditionalFormatting sqref="K178">
    <cfRule type="expression" dxfId="181" priority="259">
      <formula>H178="P"</formula>
    </cfRule>
    <cfRule type="expression" dxfId="180" priority="260">
      <formula>H178="E"</formula>
    </cfRule>
    <cfRule type="expression" dxfId="179" priority="261">
      <formula>H178="G"</formula>
    </cfRule>
  </conditionalFormatting>
  <conditionalFormatting sqref="K184">
    <cfRule type="expression" dxfId="178" priority="253">
      <formula>H184="P"</formula>
    </cfRule>
    <cfRule type="expression" dxfId="177" priority="254">
      <formula>H184="E"</formula>
    </cfRule>
    <cfRule type="expression" dxfId="176" priority="255">
      <formula>H184="G"</formula>
    </cfRule>
  </conditionalFormatting>
  <conditionalFormatting sqref="K190">
    <cfRule type="expression" dxfId="175" priority="248">
      <formula>H190="E"</formula>
    </cfRule>
    <cfRule type="expression" dxfId="174" priority="247">
      <formula>H190="P"</formula>
    </cfRule>
    <cfRule type="expression" dxfId="173" priority="249">
      <formula>H190="G"</formula>
    </cfRule>
  </conditionalFormatting>
  <conditionalFormatting sqref="K196">
    <cfRule type="expression" dxfId="172" priority="242">
      <formula>H196="E"</formula>
    </cfRule>
    <cfRule type="expression" dxfId="171" priority="243">
      <formula>H196="G"</formula>
    </cfRule>
    <cfRule type="expression" dxfId="170" priority="241">
      <formula>H196="P"</formula>
    </cfRule>
  </conditionalFormatting>
  <conditionalFormatting sqref="K202">
    <cfRule type="expression" dxfId="169" priority="237">
      <formula>H202="G"</formula>
    </cfRule>
    <cfRule type="expression" dxfId="168" priority="235">
      <formula>H202="P"</formula>
    </cfRule>
    <cfRule type="expression" dxfId="167" priority="236">
      <formula>H202="E"</formula>
    </cfRule>
  </conditionalFormatting>
  <conditionalFormatting sqref="K208">
    <cfRule type="expression" dxfId="166" priority="229">
      <formula>H208="P"</formula>
    </cfRule>
    <cfRule type="expression" dxfId="165" priority="230">
      <formula>H208="E"</formula>
    </cfRule>
    <cfRule type="expression" dxfId="164" priority="231">
      <formula>H208="G"</formula>
    </cfRule>
  </conditionalFormatting>
  <conditionalFormatting sqref="K214">
    <cfRule type="expression" dxfId="163" priority="223">
      <formula>H214="P"</formula>
    </cfRule>
    <cfRule type="expression" dxfId="162" priority="224">
      <formula>H214="E"</formula>
    </cfRule>
    <cfRule type="expression" dxfId="161" priority="225">
      <formula>H214="G"</formula>
    </cfRule>
  </conditionalFormatting>
  <conditionalFormatting sqref="K220">
    <cfRule type="expression" dxfId="160" priority="219">
      <formula>H220="G"</formula>
    </cfRule>
    <cfRule type="expression" dxfId="159" priority="217">
      <formula>H220="P"</formula>
    </cfRule>
    <cfRule type="expression" dxfId="158" priority="218">
      <formula>H220="E"</formula>
    </cfRule>
  </conditionalFormatting>
  <conditionalFormatting sqref="K226">
    <cfRule type="expression" dxfId="157" priority="213">
      <formula>H226="G"</formula>
    </cfRule>
    <cfRule type="expression" dxfId="156" priority="212">
      <formula>H226="E"</formula>
    </cfRule>
    <cfRule type="expression" dxfId="155" priority="211">
      <formula>H226="P"</formula>
    </cfRule>
  </conditionalFormatting>
  <conditionalFormatting sqref="K232">
    <cfRule type="expression" dxfId="154" priority="206">
      <formula>H232="E"</formula>
    </cfRule>
    <cfRule type="expression" dxfId="153" priority="207">
      <formula>H232="G"</formula>
    </cfRule>
    <cfRule type="expression" dxfId="152" priority="205">
      <formula>H232="P"</formula>
    </cfRule>
  </conditionalFormatting>
  <conditionalFormatting sqref="K238">
    <cfRule type="expression" dxfId="151" priority="201">
      <formula>H238="G"</formula>
    </cfRule>
    <cfRule type="expression" dxfId="150" priority="200">
      <formula>H238="E"</formula>
    </cfRule>
    <cfRule type="expression" dxfId="149" priority="199">
      <formula>H238="P"</formula>
    </cfRule>
  </conditionalFormatting>
  <conditionalFormatting sqref="K244">
    <cfRule type="expression" dxfId="148" priority="193">
      <formula>H244="P"</formula>
    </cfRule>
    <cfRule type="expression" dxfId="147" priority="195">
      <formula>H244="G"</formula>
    </cfRule>
    <cfRule type="expression" dxfId="146" priority="194">
      <formula>H244="E"</formula>
    </cfRule>
  </conditionalFormatting>
  <conditionalFormatting sqref="K250">
    <cfRule type="expression" dxfId="145" priority="187">
      <formula>H250="P"</formula>
    </cfRule>
    <cfRule type="expression" dxfId="144" priority="189">
      <formula>H250="G"</formula>
    </cfRule>
    <cfRule type="expression" dxfId="143" priority="188">
      <formula>H250="E"</formula>
    </cfRule>
  </conditionalFormatting>
  <conditionalFormatting sqref="K256">
    <cfRule type="expression" dxfId="142" priority="181">
      <formula>H256="P"</formula>
    </cfRule>
    <cfRule type="expression" dxfId="141" priority="182">
      <formula>H256="E"</formula>
    </cfRule>
    <cfRule type="expression" dxfId="140" priority="183">
      <formula>H256="G"</formula>
    </cfRule>
  </conditionalFormatting>
  <conditionalFormatting sqref="K262">
    <cfRule type="expression" dxfId="139" priority="177">
      <formula>H262="G"</formula>
    </cfRule>
    <cfRule type="expression" dxfId="138" priority="176">
      <formula>H262="E"</formula>
    </cfRule>
    <cfRule type="expression" dxfId="137" priority="175">
      <formula>H262="P"</formula>
    </cfRule>
  </conditionalFormatting>
  <conditionalFormatting sqref="K268">
    <cfRule type="expression" dxfId="136" priority="170">
      <formula>H268="E"</formula>
    </cfRule>
    <cfRule type="expression" dxfId="135" priority="169">
      <formula>H268="P"</formula>
    </cfRule>
    <cfRule type="expression" dxfId="134" priority="171">
      <formula>H268="G"</formula>
    </cfRule>
  </conditionalFormatting>
  <conditionalFormatting sqref="K274">
    <cfRule type="expression" dxfId="133" priority="164">
      <formula>H274="E"</formula>
    </cfRule>
    <cfRule type="expression" dxfId="132" priority="163">
      <formula>H274="P"</formula>
    </cfRule>
    <cfRule type="expression" dxfId="131" priority="165">
      <formula>H274="G"</formula>
    </cfRule>
  </conditionalFormatting>
  <conditionalFormatting sqref="K280">
    <cfRule type="expression" dxfId="130" priority="158">
      <formula>H280="E"</formula>
    </cfRule>
    <cfRule type="expression" dxfId="129" priority="159">
      <formula>H280="G"</formula>
    </cfRule>
    <cfRule type="expression" dxfId="128" priority="157">
      <formula>H280="P"</formula>
    </cfRule>
  </conditionalFormatting>
  <conditionalFormatting sqref="K286">
    <cfRule type="expression" dxfId="127" priority="151">
      <formula>H286="P"</formula>
    </cfRule>
    <cfRule type="expression" dxfId="126" priority="153">
      <formula>H286="G"</formula>
    </cfRule>
    <cfRule type="expression" dxfId="125" priority="152">
      <formula>H286="E"</formula>
    </cfRule>
  </conditionalFormatting>
  <conditionalFormatting sqref="K292">
    <cfRule type="expression" dxfId="124" priority="146">
      <formula>H292="E"</formula>
    </cfRule>
    <cfRule type="expression" dxfId="123" priority="147">
      <formula>H292="G"</formula>
    </cfRule>
    <cfRule type="expression" dxfId="122" priority="145">
      <formula>H292="P"</formula>
    </cfRule>
  </conditionalFormatting>
  <conditionalFormatting sqref="K298">
    <cfRule type="expression" dxfId="121" priority="140">
      <formula>H298="E"</formula>
    </cfRule>
    <cfRule type="expression" dxfId="120" priority="139">
      <formula>H298="P"</formula>
    </cfRule>
    <cfRule type="expression" dxfId="119" priority="141">
      <formula>H298="G"</formula>
    </cfRule>
  </conditionalFormatting>
  <conditionalFormatting sqref="K304">
    <cfRule type="expression" dxfId="118" priority="134">
      <formula>H304="E"</formula>
    </cfRule>
    <cfRule type="expression" dxfId="117" priority="133">
      <formula>H304="P"</formula>
    </cfRule>
    <cfRule type="expression" dxfId="116" priority="135">
      <formula>H304="G"</formula>
    </cfRule>
  </conditionalFormatting>
  <conditionalFormatting sqref="K310">
    <cfRule type="expression" dxfId="115" priority="128">
      <formula>H310="E"</formula>
    </cfRule>
    <cfRule type="expression" dxfId="114" priority="127">
      <formula>H310="P"</formula>
    </cfRule>
    <cfRule type="expression" dxfId="113" priority="129">
      <formula>H310="G"</formula>
    </cfRule>
  </conditionalFormatting>
  <conditionalFormatting sqref="K316">
    <cfRule type="expression" dxfId="112" priority="121">
      <formula>H316="P"</formula>
    </cfRule>
    <cfRule type="expression" dxfId="111" priority="122">
      <formula>H316="E"</formula>
    </cfRule>
    <cfRule type="expression" dxfId="110" priority="123">
      <formula>H316="G"</formula>
    </cfRule>
  </conditionalFormatting>
  <conditionalFormatting sqref="K322">
    <cfRule type="expression" dxfId="109" priority="116">
      <formula>H322="E"</formula>
    </cfRule>
    <cfRule type="expression" dxfId="108" priority="117">
      <formula>H322="G"</formula>
    </cfRule>
    <cfRule type="expression" dxfId="107" priority="115">
      <formula>H322="P"</formula>
    </cfRule>
  </conditionalFormatting>
  <conditionalFormatting sqref="K328">
    <cfRule type="expression" dxfId="106" priority="109">
      <formula>H328="P"</formula>
    </cfRule>
    <cfRule type="expression" dxfId="105" priority="110">
      <formula>H328="E"</formula>
    </cfRule>
    <cfRule type="expression" dxfId="104" priority="111">
      <formula>H328="G"</formula>
    </cfRule>
  </conditionalFormatting>
  <conditionalFormatting sqref="K334">
    <cfRule type="expression" dxfId="103" priority="103">
      <formula>H334="P"</formula>
    </cfRule>
    <cfRule type="expression" dxfId="102" priority="104">
      <formula>H334="E"</formula>
    </cfRule>
    <cfRule type="expression" dxfId="101" priority="105">
      <formula>H334="G"</formula>
    </cfRule>
  </conditionalFormatting>
  <conditionalFormatting sqref="K340">
    <cfRule type="expression" dxfId="100" priority="97">
      <formula>H340="P"</formula>
    </cfRule>
    <cfRule type="expression" dxfId="99" priority="98">
      <formula>H340="E"</formula>
    </cfRule>
    <cfRule type="expression" dxfId="98" priority="99">
      <formula>H340="G"</formula>
    </cfRule>
  </conditionalFormatting>
  <conditionalFormatting sqref="K346">
    <cfRule type="expression" dxfId="97" priority="92">
      <formula>H346="E"</formula>
    </cfRule>
    <cfRule type="expression" dxfId="96" priority="93">
      <formula>H346="G"</formula>
    </cfRule>
    <cfRule type="expression" dxfId="95" priority="91">
      <formula>H346="P"</formula>
    </cfRule>
  </conditionalFormatting>
  <conditionalFormatting sqref="K352">
    <cfRule type="expression" dxfId="94" priority="86">
      <formula>H352="E"</formula>
    </cfRule>
    <cfRule type="expression" dxfId="93" priority="87">
      <formula>H352="G"</formula>
    </cfRule>
    <cfRule type="expression" dxfId="92" priority="85">
      <formula>H352="P"</formula>
    </cfRule>
  </conditionalFormatting>
  <conditionalFormatting sqref="K358">
    <cfRule type="expression" dxfId="91" priority="81">
      <formula>H358="G"</formula>
    </cfRule>
    <cfRule type="expression" dxfId="90" priority="79">
      <formula>H358="P"</formula>
    </cfRule>
    <cfRule type="expression" dxfId="89" priority="80">
      <formula>H358="E"</formula>
    </cfRule>
  </conditionalFormatting>
  <conditionalFormatting sqref="K364">
    <cfRule type="expression" dxfId="88" priority="74">
      <formula>H364="E"</formula>
    </cfRule>
    <cfRule type="expression" dxfId="87" priority="73">
      <formula>H364="P"</formula>
    </cfRule>
    <cfRule type="expression" dxfId="86" priority="75">
      <formula>H364="G"</formula>
    </cfRule>
  </conditionalFormatting>
  <conditionalFormatting sqref="K370">
    <cfRule type="expression" dxfId="85" priority="67">
      <formula>H370="P"</formula>
    </cfRule>
    <cfRule type="expression" dxfId="84" priority="68">
      <formula>H370="E"</formula>
    </cfRule>
    <cfRule type="expression" dxfId="83" priority="69">
      <formula>H370="G"</formula>
    </cfRule>
  </conditionalFormatting>
  <conditionalFormatting sqref="K376">
    <cfRule type="expression" dxfId="82" priority="61">
      <formula>H376="P"</formula>
    </cfRule>
    <cfRule type="expression" dxfId="81" priority="63">
      <formula>H376="G"</formula>
    </cfRule>
    <cfRule type="expression" dxfId="80" priority="62">
      <formula>H376="E"</formula>
    </cfRule>
  </conditionalFormatting>
  <conditionalFormatting sqref="K382">
    <cfRule type="expression" dxfId="79" priority="57">
      <formula>H382="G"</formula>
    </cfRule>
    <cfRule type="expression" dxfId="78" priority="56">
      <formula>H382="E"</formula>
    </cfRule>
    <cfRule type="expression" dxfId="77" priority="55">
      <formula>H382="P"</formula>
    </cfRule>
  </conditionalFormatting>
  <conditionalFormatting sqref="K388">
    <cfRule type="expression" dxfId="76" priority="50">
      <formula>H388="E"</formula>
    </cfRule>
    <cfRule type="expression" dxfId="75" priority="51">
      <formula>H388="G"</formula>
    </cfRule>
    <cfRule type="expression" dxfId="74" priority="49">
      <formula>H388="P"</formula>
    </cfRule>
  </conditionalFormatting>
  <conditionalFormatting sqref="K394">
    <cfRule type="expression" dxfId="73" priority="45">
      <formula>H394="G"</formula>
    </cfRule>
    <cfRule type="expression" dxfId="72" priority="44">
      <formula>H394="E"</formula>
    </cfRule>
    <cfRule type="expression" dxfId="71" priority="43">
      <formula>H394="P"</formula>
    </cfRule>
  </conditionalFormatting>
  <conditionalFormatting sqref="K400">
    <cfRule type="expression" dxfId="70" priority="39">
      <formula>H400="G"</formula>
    </cfRule>
    <cfRule type="expression" dxfId="69" priority="38">
      <formula>H400="E"</formula>
    </cfRule>
    <cfRule type="expression" dxfId="68" priority="37">
      <formula>H400="P"</formula>
    </cfRule>
  </conditionalFormatting>
  <conditionalFormatting sqref="K406">
    <cfRule type="expression" dxfId="67" priority="33">
      <formula>H406="G"</formula>
    </cfRule>
    <cfRule type="expression" dxfId="66" priority="32">
      <formula>H406="E"</formula>
    </cfRule>
    <cfRule type="expression" dxfId="65" priority="31">
      <formula>H406="P"</formula>
    </cfRule>
  </conditionalFormatting>
  <conditionalFormatting sqref="K412">
    <cfRule type="expression" dxfId="64" priority="26">
      <formula>H412="E"</formula>
    </cfRule>
    <cfRule type="expression" dxfId="63" priority="25">
      <formula>H412="P"</formula>
    </cfRule>
    <cfRule type="expression" dxfId="62" priority="27">
      <formula>H412="G"</formula>
    </cfRule>
  </conditionalFormatting>
  <conditionalFormatting sqref="K418">
    <cfRule type="expression" dxfId="61" priority="21">
      <formula>H418="G"</formula>
    </cfRule>
    <cfRule type="expression" dxfId="60" priority="20">
      <formula>H418="E"</formula>
    </cfRule>
    <cfRule type="expression" dxfId="59" priority="19">
      <formula>H418="P"</formula>
    </cfRule>
  </conditionalFormatting>
  <conditionalFormatting sqref="K424">
    <cfRule type="expression" dxfId="58" priority="15">
      <formula>H424="G"</formula>
    </cfRule>
    <cfRule type="expression" dxfId="57" priority="14">
      <formula>H424="E"</formula>
    </cfRule>
    <cfRule type="expression" dxfId="56" priority="13">
      <formula>H424="P"</formula>
    </cfRule>
  </conditionalFormatting>
  <conditionalFormatting sqref="K430">
    <cfRule type="expression" dxfId="55" priority="9">
      <formula>H430="G"</formula>
    </cfRule>
    <cfRule type="expression" dxfId="54" priority="8">
      <formula>H430="E"</formula>
    </cfRule>
    <cfRule type="expression" dxfId="53" priority="7">
      <formula>H430="P"</formula>
    </cfRule>
  </conditionalFormatting>
  <conditionalFormatting sqref="K436">
    <cfRule type="expression" dxfId="52" priority="1">
      <formula>H436="P"</formula>
    </cfRule>
    <cfRule type="expression" dxfId="51" priority="3">
      <formula>H436="G"</formula>
    </cfRule>
    <cfRule type="expression" dxfId="50" priority="2">
      <formula>H436="E"</formula>
    </cfRule>
  </conditionalFormatting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R35"/>
  <sheetViews>
    <sheetView showGridLines="0" showRowColHeaders="0" workbookViewId="0">
      <selection activeCell="N13" sqref="N13"/>
    </sheetView>
  </sheetViews>
  <sheetFormatPr baseColWidth="10" defaultRowHeight="15" x14ac:dyDescent="0.25"/>
  <cols>
    <col min="1" max="1" width="5.7109375" customWidth="1"/>
    <col min="2" max="2" width="20.7109375" customWidth="1"/>
    <col min="3" max="3" width="1.7109375" customWidth="1"/>
    <col min="4" max="4" width="20.7109375" customWidth="1"/>
    <col min="5" max="5" width="1.7109375" customWidth="1"/>
    <col min="6" max="6" width="20.7109375" customWidth="1"/>
    <col min="7" max="7" width="1.7109375" customWidth="1"/>
    <col min="8" max="8" width="20.7109375" customWidth="1"/>
    <col min="9" max="9" width="1.7109375" customWidth="1"/>
    <col min="10" max="10" width="20.7109375" customWidth="1"/>
    <col min="11" max="11" width="6.7109375" customWidth="1"/>
    <col min="14" max="18" width="5.7109375" customWidth="1"/>
    <col min="20" max="20" width="20.85546875" customWidth="1"/>
  </cols>
  <sheetData>
    <row r="1" spans="1:13" ht="33.75" customHeight="1" x14ac:dyDescent="0.25"/>
    <row r="2" spans="1:13" ht="15.75" thickBot="1" x14ac:dyDescent="0.3"/>
    <row r="3" spans="1:13" ht="15" customHeight="1" x14ac:dyDescent="0.25">
      <c r="B3" s="329">
        <v>96</v>
      </c>
      <c r="D3" s="331">
        <v>22</v>
      </c>
      <c r="F3" s="335">
        <v>16</v>
      </c>
      <c r="H3" s="327">
        <v>48</v>
      </c>
      <c r="J3" s="333">
        <v>104</v>
      </c>
      <c r="K3" s="31"/>
      <c r="M3" s="12"/>
    </row>
    <row r="4" spans="1:13" ht="15" customHeight="1" x14ac:dyDescent="0.25">
      <c r="B4" s="330"/>
      <c r="D4" s="332"/>
      <c r="F4" s="336"/>
      <c r="H4" s="328"/>
      <c r="J4" s="334"/>
      <c r="K4" s="31"/>
    </row>
    <row r="5" spans="1:13" ht="15" customHeight="1" x14ac:dyDescent="0.25">
      <c r="B5" s="330"/>
      <c r="D5" s="332"/>
      <c r="F5" s="336"/>
      <c r="H5" s="328"/>
      <c r="J5" s="334"/>
      <c r="K5" s="31"/>
      <c r="M5" s="12"/>
    </row>
    <row r="6" spans="1:13" ht="15" customHeight="1" x14ac:dyDescent="0.25">
      <c r="B6" s="330"/>
      <c r="D6" s="332"/>
      <c r="F6" s="336"/>
      <c r="H6" s="328"/>
      <c r="J6" s="334"/>
      <c r="K6" s="31"/>
      <c r="M6" s="12"/>
    </row>
    <row r="7" spans="1:13" ht="21" x14ac:dyDescent="0.25">
      <c r="B7" s="322" t="s">
        <v>37</v>
      </c>
      <c r="D7" s="323" t="s">
        <v>39</v>
      </c>
      <c r="F7" s="324" t="s">
        <v>76</v>
      </c>
      <c r="H7" s="325" t="s">
        <v>38</v>
      </c>
      <c r="J7" s="326" t="s">
        <v>1</v>
      </c>
      <c r="K7" s="32"/>
      <c r="M7" s="12"/>
    </row>
    <row r="8" spans="1:13" ht="21" x14ac:dyDescent="0.25">
      <c r="B8" s="322"/>
      <c r="D8" s="323"/>
      <c r="F8" s="324"/>
      <c r="H8" s="325"/>
      <c r="J8" s="326"/>
      <c r="K8" s="32"/>
      <c r="M8" s="12"/>
    </row>
    <row r="9" spans="1:13" ht="5.0999999999999996" customHeight="1" x14ac:dyDescent="0.25">
      <c r="A9" s="1"/>
      <c r="B9" s="39"/>
      <c r="C9" s="1"/>
      <c r="D9" s="39"/>
      <c r="E9" s="1"/>
      <c r="F9" s="39"/>
      <c r="G9" s="1"/>
      <c r="H9" s="39"/>
      <c r="I9" s="1"/>
      <c r="J9" s="39"/>
      <c r="K9" s="33"/>
      <c r="L9" s="1"/>
      <c r="M9" s="12"/>
    </row>
    <row r="10" spans="1:13" ht="15" customHeight="1" x14ac:dyDescent="0.25">
      <c r="A10" s="1"/>
      <c r="B10" s="320" t="s">
        <v>83</v>
      </c>
      <c r="C10" s="1"/>
      <c r="D10" s="320" t="s">
        <v>86</v>
      </c>
      <c r="E10" s="1"/>
      <c r="F10" s="320" t="s">
        <v>87</v>
      </c>
      <c r="G10" s="1"/>
      <c r="H10" s="320" t="s">
        <v>84</v>
      </c>
      <c r="I10" s="1"/>
      <c r="J10" s="320" t="s">
        <v>88</v>
      </c>
      <c r="K10" s="34"/>
      <c r="L10" s="1"/>
    </row>
    <row r="11" spans="1:13" x14ac:dyDescent="0.25">
      <c r="A11" s="1"/>
      <c r="B11" s="320"/>
      <c r="C11" s="1"/>
      <c r="D11" s="320"/>
      <c r="E11" s="1"/>
      <c r="F11" s="320"/>
      <c r="G11" s="1"/>
      <c r="H11" s="320"/>
      <c r="I11" s="1"/>
      <c r="J11" s="320"/>
      <c r="K11" s="34"/>
      <c r="L11" s="1"/>
    </row>
    <row r="12" spans="1:13" x14ac:dyDescent="0.25">
      <c r="A12" s="1"/>
      <c r="B12" s="320"/>
      <c r="C12" s="1"/>
      <c r="D12" s="320"/>
      <c r="E12" s="1"/>
      <c r="F12" s="320"/>
      <c r="G12" s="1"/>
      <c r="H12" s="320"/>
      <c r="I12" s="1"/>
      <c r="J12" s="320"/>
      <c r="K12" s="34"/>
      <c r="L12" s="1"/>
    </row>
    <row r="13" spans="1:13" x14ac:dyDescent="0.25">
      <c r="A13" s="1"/>
      <c r="B13" s="320"/>
      <c r="C13" s="1"/>
      <c r="D13" s="320"/>
      <c r="E13" s="1"/>
      <c r="F13" s="320"/>
      <c r="G13" s="1"/>
      <c r="H13" s="320"/>
      <c r="I13" s="1"/>
      <c r="J13" s="320"/>
      <c r="K13" s="34"/>
      <c r="L13" s="1"/>
    </row>
    <row r="14" spans="1:13" x14ac:dyDescent="0.25">
      <c r="A14" s="1"/>
      <c r="B14" s="320"/>
      <c r="C14" s="1"/>
      <c r="D14" s="320"/>
      <c r="E14" s="1"/>
      <c r="F14" s="320"/>
      <c r="G14" s="1"/>
      <c r="H14" s="320"/>
      <c r="I14" s="1"/>
      <c r="J14" s="320"/>
      <c r="K14" s="34"/>
      <c r="L14" s="1"/>
    </row>
    <row r="15" spans="1:13" x14ac:dyDescent="0.25">
      <c r="A15" s="1"/>
      <c r="B15" s="320"/>
      <c r="C15" s="1"/>
      <c r="D15" s="320"/>
      <c r="E15" s="1"/>
      <c r="F15" s="320"/>
      <c r="G15" s="1"/>
      <c r="H15" s="320"/>
      <c r="I15" s="1"/>
      <c r="J15" s="320"/>
      <c r="K15" s="34"/>
      <c r="L15" s="1"/>
    </row>
    <row r="16" spans="1:13" ht="5.0999999999999996" customHeight="1" thickBot="1" x14ac:dyDescent="0.3">
      <c r="A16" s="1"/>
      <c r="B16" s="321"/>
      <c r="C16" s="1"/>
      <c r="D16" s="321"/>
      <c r="E16" s="1"/>
      <c r="F16" s="321"/>
      <c r="G16" s="1"/>
      <c r="H16" s="321"/>
      <c r="I16" s="1"/>
      <c r="J16" s="321"/>
      <c r="K16" s="34"/>
      <c r="L16" s="1"/>
      <c r="M16" s="12">
        <v>1974</v>
      </c>
    </row>
    <row r="18" spans="2:18" x14ac:dyDescent="0.25">
      <c r="M18" s="12"/>
    </row>
    <row r="19" spans="2:18" x14ac:dyDescent="0.25">
      <c r="L19" s="12"/>
    </row>
    <row r="20" spans="2:18" x14ac:dyDescent="0.25">
      <c r="B20" s="40" t="s">
        <v>40</v>
      </c>
      <c r="C20" s="41"/>
      <c r="D20" s="41" t="s">
        <v>292</v>
      </c>
      <c r="E20" s="41"/>
      <c r="F20" s="41" t="s">
        <v>299</v>
      </c>
      <c r="G20" s="41"/>
      <c r="H20" s="42" t="s">
        <v>305</v>
      </c>
    </row>
    <row r="21" spans="2:18" x14ac:dyDescent="0.25">
      <c r="B21" s="43" t="s">
        <v>355</v>
      </c>
      <c r="C21" s="139"/>
      <c r="D21" s="139" t="s">
        <v>356</v>
      </c>
      <c r="E21" s="139"/>
      <c r="F21" s="139" t="s">
        <v>48</v>
      </c>
      <c r="G21" s="139"/>
      <c r="H21" s="44" t="s">
        <v>53</v>
      </c>
    </row>
    <row r="22" spans="2:18" x14ac:dyDescent="0.25">
      <c r="B22" s="43" t="s">
        <v>287</v>
      </c>
      <c r="C22" s="139"/>
      <c r="D22" s="139" t="s">
        <v>293</v>
      </c>
      <c r="E22" s="139"/>
      <c r="F22" s="139" t="s">
        <v>300</v>
      </c>
      <c r="G22" s="139"/>
      <c r="H22" s="44" t="s">
        <v>354</v>
      </c>
    </row>
    <row r="23" spans="2:18" x14ac:dyDescent="0.25">
      <c r="B23" s="43" t="s">
        <v>41</v>
      </c>
      <c r="C23" s="139"/>
      <c r="D23" s="139" t="s">
        <v>45</v>
      </c>
      <c r="E23" s="139"/>
      <c r="F23" s="139" t="s">
        <v>49</v>
      </c>
      <c r="G23" s="139"/>
      <c r="H23" s="44" t="s">
        <v>357</v>
      </c>
    </row>
    <row r="24" spans="2:18" ht="15.75" x14ac:dyDescent="0.25">
      <c r="B24" s="43" t="s">
        <v>42</v>
      </c>
      <c r="C24" s="139"/>
      <c r="D24" s="139" t="s">
        <v>294</v>
      </c>
      <c r="E24" s="139"/>
      <c r="F24" s="139" t="s">
        <v>50</v>
      </c>
      <c r="G24" s="139"/>
      <c r="H24" s="44" t="s">
        <v>54</v>
      </c>
      <c r="L24" s="117" t="s">
        <v>10</v>
      </c>
      <c r="M24" s="118" t="s">
        <v>60</v>
      </c>
      <c r="N24" s="119">
        <v>1958</v>
      </c>
      <c r="O24" s="119">
        <v>1962</v>
      </c>
      <c r="P24" s="119">
        <v>1970</v>
      </c>
      <c r="Q24" s="119">
        <v>1994</v>
      </c>
      <c r="R24" s="120">
        <v>2002</v>
      </c>
    </row>
    <row r="25" spans="2:18" ht="15.75" x14ac:dyDescent="0.25">
      <c r="B25" s="43" t="s">
        <v>288</v>
      </c>
      <c r="C25" s="139"/>
      <c r="D25" s="139" t="s">
        <v>72</v>
      </c>
      <c r="E25" s="139"/>
      <c r="F25" s="139" t="s">
        <v>301</v>
      </c>
      <c r="G25" s="139"/>
      <c r="H25" s="44" t="s">
        <v>306</v>
      </c>
      <c r="L25" s="121" t="s">
        <v>19</v>
      </c>
      <c r="M25" s="122" t="s">
        <v>82</v>
      </c>
      <c r="N25" s="123">
        <v>1954</v>
      </c>
      <c r="O25" s="123">
        <v>1974</v>
      </c>
      <c r="P25" s="123">
        <v>1990</v>
      </c>
      <c r="Q25" s="123">
        <v>2014</v>
      </c>
      <c r="R25" s="124"/>
    </row>
    <row r="26" spans="2:18" ht="15.75" x14ac:dyDescent="0.25">
      <c r="B26" s="43" t="s">
        <v>43</v>
      </c>
      <c r="C26" s="139"/>
      <c r="D26" s="139" t="s">
        <v>295</v>
      </c>
      <c r="E26" s="139"/>
      <c r="F26" s="139" t="s">
        <v>51</v>
      </c>
      <c r="G26" s="139"/>
      <c r="H26" s="44" t="s">
        <v>307</v>
      </c>
      <c r="L26" s="117" t="s">
        <v>291</v>
      </c>
      <c r="M26" s="118" t="s">
        <v>82</v>
      </c>
      <c r="N26" s="119">
        <v>1934</v>
      </c>
      <c r="O26" s="119">
        <v>1938</v>
      </c>
      <c r="P26" s="125">
        <v>1982</v>
      </c>
      <c r="Q26" s="125">
        <v>2006</v>
      </c>
      <c r="R26" s="120"/>
    </row>
    <row r="27" spans="2:18" ht="15.75" x14ac:dyDescent="0.25">
      <c r="B27" s="43" t="s">
        <v>289</v>
      </c>
      <c r="C27" s="139"/>
      <c r="D27" s="139" t="s">
        <v>296</v>
      </c>
      <c r="E27" s="139"/>
      <c r="F27" s="139" t="s">
        <v>52</v>
      </c>
      <c r="G27" s="139"/>
      <c r="H27" s="44" t="s">
        <v>55</v>
      </c>
      <c r="L27" s="121" t="s">
        <v>18</v>
      </c>
      <c r="M27" s="122" t="s">
        <v>85</v>
      </c>
      <c r="N27" s="123">
        <v>1978</v>
      </c>
      <c r="O27" s="123">
        <v>1986</v>
      </c>
      <c r="P27" s="123">
        <v>2022</v>
      </c>
      <c r="Q27" s="123"/>
      <c r="R27" s="126"/>
    </row>
    <row r="28" spans="2:18" ht="15.75" x14ac:dyDescent="0.25">
      <c r="B28" s="43" t="s">
        <v>44</v>
      </c>
      <c r="C28" s="139"/>
      <c r="D28" s="139" t="s">
        <v>46</v>
      </c>
      <c r="E28" s="139"/>
      <c r="F28" s="139" t="s">
        <v>302</v>
      </c>
      <c r="G28" s="139"/>
      <c r="H28" s="44" t="s">
        <v>56</v>
      </c>
      <c r="L28" s="117" t="s">
        <v>17</v>
      </c>
      <c r="M28" s="118" t="s">
        <v>59</v>
      </c>
      <c r="N28" s="119">
        <v>1998</v>
      </c>
      <c r="O28" s="125">
        <v>2018</v>
      </c>
      <c r="P28" s="125"/>
      <c r="Q28" s="125"/>
      <c r="R28" s="120"/>
    </row>
    <row r="29" spans="2:18" ht="15.75" x14ac:dyDescent="0.25">
      <c r="B29" s="43" t="s">
        <v>290</v>
      </c>
      <c r="C29" s="139"/>
      <c r="D29" s="139" t="s">
        <v>73</v>
      </c>
      <c r="E29" s="139"/>
      <c r="F29" s="139" t="s">
        <v>303</v>
      </c>
      <c r="G29" s="139"/>
      <c r="H29" s="44" t="s">
        <v>308</v>
      </c>
      <c r="L29" s="121" t="s">
        <v>14</v>
      </c>
      <c r="M29" s="122" t="s">
        <v>59</v>
      </c>
      <c r="N29" s="123">
        <v>1930</v>
      </c>
      <c r="O29" s="127">
        <v>1950</v>
      </c>
      <c r="P29" s="127"/>
      <c r="Q29" s="127"/>
      <c r="R29" s="124"/>
    </row>
    <row r="30" spans="2:18" ht="15.75" x14ac:dyDescent="0.25">
      <c r="B30" s="43" t="s">
        <v>70</v>
      </c>
      <c r="C30" s="139"/>
      <c r="D30" s="139" t="s">
        <v>47</v>
      </c>
      <c r="E30" s="139"/>
      <c r="F30" s="139" t="s">
        <v>75</v>
      </c>
      <c r="G30" s="139"/>
      <c r="H30" s="44" t="s">
        <v>57</v>
      </c>
      <c r="L30" s="117" t="s">
        <v>13</v>
      </c>
      <c r="M30" s="118" t="s">
        <v>58</v>
      </c>
      <c r="N30" s="119">
        <v>2010</v>
      </c>
      <c r="O30" s="125"/>
      <c r="P30" s="125"/>
      <c r="Q30" s="125"/>
      <c r="R30" s="120"/>
    </row>
    <row r="31" spans="2:18" ht="15.75" x14ac:dyDescent="0.25">
      <c r="B31" s="45" t="s">
        <v>71</v>
      </c>
      <c r="C31" s="46"/>
      <c r="D31" s="46" t="s">
        <v>74</v>
      </c>
      <c r="E31" s="46"/>
      <c r="F31" s="46" t="s">
        <v>304</v>
      </c>
      <c r="G31" s="46"/>
      <c r="H31" s="47" t="s">
        <v>309</v>
      </c>
      <c r="L31" s="121" t="s">
        <v>15</v>
      </c>
      <c r="M31" s="122" t="s">
        <v>58</v>
      </c>
      <c r="N31" s="123">
        <v>1966</v>
      </c>
      <c r="O31" s="123"/>
      <c r="P31" s="127"/>
      <c r="Q31" s="127"/>
      <c r="R31" s="124"/>
    </row>
    <row r="33" ht="18" customHeight="1" x14ac:dyDescent="0.25"/>
    <row r="34" ht="18" customHeight="1" x14ac:dyDescent="0.25"/>
    <row r="35" ht="18" customHeight="1" x14ac:dyDescent="0.25"/>
  </sheetData>
  <sheetProtection sheet="1" objects="1" scenarios="1"/>
  <sortState xmlns:xlrd2="http://schemas.microsoft.com/office/spreadsheetml/2017/richdata2" ref="L25:R31">
    <sortCondition ref="L25"/>
  </sortState>
  <mergeCells count="15">
    <mergeCell ref="H3:H6"/>
    <mergeCell ref="B3:B6"/>
    <mergeCell ref="D3:D6"/>
    <mergeCell ref="J3:J6"/>
    <mergeCell ref="F3:F6"/>
    <mergeCell ref="J10:J16"/>
    <mergeCell ref="B7:B8"/>
    <mergeCell ref="D7:D8"/>
    <mergeCell ref="F7:F8"/>
    <mergeCell ref="H7:H8"/>
    <mergeCell ref="J7:J8"/>
    <mergeCell ref="B10:B16"/>
    <mergeCell ref="D10:D16"/>
    <mergeCell ref="F10:F16"/>
    <mergeCell ref="H10:H16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A8EF-CB88-455A-9FB6-232B342F09BE}">
  <sheetPr codeName="Hoja17"/>
  <dimension ref="B1:AA38"/>
  <sheetViews>
    <sheetView showGridLines="0" showRowColHeaders="0" workbookViewId="0">
      <selection activeCell="C3" sqref="C3"/>
    </sheetView>
  </sheetViews>
  <sheetFormatPr baseColWidth="10" defaultRowHeight="15" x14ac:dyDescent="0.25"/>
  <cols>
    <col min="1" max="1" width="5.7109375" customWidth="1"/>
    <col min="2" max="2" width="35.28515625" customWidth="1"/>
    <col min="3" max="3" width="16.42578125" customWidth="1"/>
    <col min="5" max="5" width="3.7109375" customWidth="1"/>
    <col min="6" max="6" width="5.7109375" customWidth="1"/>
    <col min="7" max="7" width="29.140625" customWidth="1"/>
    <col min="8" max="8" width="6.7109375" customWidth="1"/>
  </cols>
  <sheetData>
    <row r="1" spans="2:27" ht="82.5" customHeight="1" x14ac:dyDescent="0.25"/>
    <row r="3" spans="2:27" ht="30" customHeight="1" x14ac:dyDescent="0.25">
      <c r="B3" s="13" t="s">
        <v>89</v>
      </c>
      <c r="C3" s="14"/>
      <c r="G3" s="141" t="s">
        <v>387</v>
      </c>
      <c r="H3" s="136" t="s">
        <v>77</v>
      </c>
      <c r="X3" s="109" t="str">
        <f>IF(UTCElegido="","",IF(MID(UTCElegido,4,1)="+",1,-1))</f>
        <v/>
      </c>
      <c r="Y3" s="109" t="str">
        <f>MID(UTCElegido,5,2)</f>
        <v/>
      </c>
      <c r="Z3" s="109" t="e">
        <f>RIGHT(UTCElegido,2)/60</f>
        <v>#VALUE!</v>
      </c>
      <c r="AA3" s="109" t="e">
        <f>(HD+MD)*SD</f>
        <v>#VALUE!</v>
      </c>
    </row>
    <row r="4" spans="2:27" x14ac:dyDescent="0.25">
      <c r="G4" s="135" t="s">
        <v>328</v>
      </c>
      <c r="H4" s="128" t="s">
        <v>321</v>
      </c>
    </row>
    <row r="5" spans="2:27" ht="15" customHeight="1" x14ac:dyDescent="0.25">
      <c r="G5" s="135" t="s">
        <v>331</v>
      </c>
      <c r="H5" s="128" t="s">
        <v>318</v>
      </c>
    </row>
    <row r="6" spans="2:27" ht="15" customHeight="1" x14ac:dyDescent="0.25">
      <c r="B6" t="s">
        <v>386</v>
      </c>
      <c r="G6" s="135" t="s">
        <v>325</v>
      </c>
      <c r="H6" s="128" t="s">
        <v>318</v>
      </c>
    </row>
    <row r="7" spans="2:27" ht="15" customHeight="1" x14ac:dyDescent="0.25">
      <c r="G7" s="135" t="s">
        <v>336</v>
      </c>
      <c r="H7" s="128" t="s">
        <v>322</v>
      </c>
    </row>
    <row r="8" spans="2:27" ht="15" customHeight="1" x14ac:dyDescent="0.25">
      <c r="B8" s="131" t="s">
        <v>384</v>
      </c>
      <c r="G8" s="135" t="s">
        <v>341</v>
      </c>
      <c r="H8" s="128" t="s">
        <v>323</v>
      </c>
    </row>
    <row r="9" spans="2:27" ht="15" customHeight="1" x14ac:dyDescent="0.25">
      <c r="B9" s="140" t="s">
        <v>385</v>
      </c>
      <c r="C9" s="132"/>
      <c r="D9" s="132"/>
      <c r="E9" s="132"/>
      <c r="G9" s="135" t="s">
        <v>335</v>
      </c>
      <c r="H9" s="128" t="s">
        <v>318</v>
      </c>
    </row>
    <row r="10" spans="2:27" ht="15" customHeight="1" x14ac:dyDescent="0.25">
      <c r="B10" s="138"/>
      <c r="C10" s="133"/>
      <c r="D10" s="133"/>
      <c r="E10" s="133"/>
      <c r="G10" s="135" t="s">
        <v>337</v>
      </c>
      <c r="H10" s="128" t="s">
        <v>322</v>
      </c>
    </row>
    <row r="11" spans="2:27" ht="15" customHeight="1" x14ac:dyDescent="0.25">
      <c r="B11" s="131"/>
      <c r="G11" s="135" t="s">
        <v>344</v>
      </c>
      <c r="H11" s="128" t="s">
        <v>323</v>
      </c>
    </row>
    <row r="12" spans="2:27" ht="15" customHeight="1" x14ac:dyDescent="0.25">
      <c r="B12" s="131"/>
      <c r="G12" s="135" t="s">
        <v>327</v>
      </c>
      <c r="H12" s="128" t="s">
        <v>320</v>
      </c>
    </row>
    <row r="13" spans="2:27" ht="15" customHeight="1" x14ac:dyDescent="0.25">
      <c r="G13" s="135" t="s">
        <v>326</v>
      </c>
      <c r="H13" s="128" t="s">
        <v>319</v>
      </c>
    </row>
    <row r="14" spans="2:27" ht="15" customHeight="1" x14ac:dyDescent="0.25">
      <c r="G14" s="135" t="s">
        <v>342</v>
      </c>
      <c r="H14" s="128" t="s">
        <v>323</v>
      </c>
    </row>
    <row r="15" spans="2:27" x14ac:dyDescent="0.25">
      <c r="G15" s="135" t="s">
        <v>346</v>
      </c>
      <c r="H15" s="128" t="s">
        <v>320</v>
      </c>
    </row>
    <row r="16" spans="2:27" x14ac:dyDescent="0.25">
      <c r="G16" s="135" t="s">
        <v>343</v>
      </c>
      <c r="H16" s="128" t="s">
        <v>323</v>
      </c>
    </row>
    <row r="17" spans="7:8" x14ac:dyDescent="0.25">
      <c r="G17" s="135" t="s">
        <v>340</v>
      </c>
      <c r="H17" s="128" t="s">
        <v>323</v>
      </c>
    </row>
    <row r="18" spans="7:8" x14ac:dyDescent="0.25">
      <c r="G18" s="135" t="s">
        <v>347</v>
      </c>
      <c r="H18" s="128" t="s">
        <v>322</v>
      </c>
    </row>
    <row r="19" spans="7:8" x14ac:dyDescent="0.25">
      <c r="G19" s="135" t="s">
        <v>348</v>
      </c>
      <c r="H19" s="128" t="s">
        <v>324</v>
      </c>
    </row>
    <row r="20" spans="7:8" x14ac:dyDescent="0.25">
      <c r="G20" s="135" t="s">
        <v>345</v>
      </c>
      <c r="H20" s="128" t="s">
        <v>323</v>
      </c>
    </row>
    <row r="21" spans="7:8" x14ac:dyDescent="0.25">
      <c r="G21" s="135" t="s">
        <v>339</v>
      </c>
      <c r="H21" s="128" t="s">
        <v>322</v>
      </c>
    </row>
    <row r="22" spans="7:8" x14ac:dyDescent="0.25">
      <c r="G22" s="135" t="s">
        <v>330</v>
      </c>
      <c r="H22" s="128" t="s">
        <v>321</v>
      </c>
    </row>
    <row r="23" spans="7:8" x14ac:dyDescent="0.25">
      <c r="G23" s="135" t="s">
        <v>338</v>
      </c>
      <c r="H23" s="128" t="s">
        <v>322</v>
      </c>
    </row>
    <row r="24" spans="7:8" x14ac:dyDescent="0.25">
      <c r="G24" s="135" t="s">
        <v>334</v>
      </c>
      <c r="H24" s="128" t="s">
        <v>318</v>
      </c>
    </row>
    <row r="25" spans="7:8" x14ac:dyDescent="0.25">
      <c r="G25" s="135" t="s">
        <v>333</v>
      </c>
      <c r="H25" s="128" t="s">
        <v>318</v>
      </c>
    </row>
    <row r="26" spans="7:8" x14ac:dyDescent="0.25">
      <c r="G26" s="135" t="s">
        <v>329</v>
      </c>
      <c r="H26" s="128" t="s">
        <v>321</v>
      </c>
    </row>
    <row r="27" spans="7:8" x14ac:dyDescent="0.25">
      <c r="G27" s="135" t="s">
        <v>332</v>
      </c>
      <c r="H27" s="128" t="s">
        <v>318</v>
      </c>
    </row>
    <row r="28" spans="7:8" x14ac:dyDescent="0.25">
      <c r="H28" s="134"/>
    </row>
    <row r="29" spans="7:8" ht="15.75" x14ac:dyDescent="0.25">
      <c r="G29" s="137" t="s">
        <v>315</v>
      </c>
      <c r="H29" s="136" t="s">
        <v>77</v>
      </c>
    </row>
    <row r="30" spans="7:8" ht="30.75" x14ac:dyDescent="0.25">
      <c r="G30" s="135" t="s">
        <v>349</v>
      </c>
      <c r="H30" s="128" t="s">
        <v>323</v>
      </c>
    </row>
    <row r="31" spans="7:8" ht="15.75" x14ac:dyDescent="0.25">
      <c r="G31" s="137" t="s">
        <v>316</v>
      </c>
      <c r="H31" s="136" t="s">
        <v>77</v>
      </c>
    </row>
    <row r="32" spans="7:8" ht="45" x14ac:dyDescent="0.25">
      <c r="G32" s="135" t="s">
        <v>352</v>
      </c>
      <c r="H32" s="128" t="s">
        <v>318</v>
      </c>
    </row>
    <row r="33" spans="7:8" ht="30" x14ac:dyDescent="0.25">
      <c r="G33" s="135" t="s">
        <v>350</v>
      </c>
      <c r="H33" s="128" t="s">
        <v>322</v>
      </c>
    </row>
    <row r="34" spans="7:8" x14ac:dyDescent="0.25">
      <c r="G34" s="135" t="s">
        <v>351</v>
      </c>
      <c r="H34" s="128" t="s">
        <v>323</v>
      </c>
    </row>
    <row r="35" spans="7:8" ht="30" x14ac:dyDescent="0.25">
      <c r="G35" s="135" t="s">
        <v>353</v>
      </c>
      <c r="H35" s="128" t="s">
        <v>324</v>
      </c>
    </row>
    <row r="36" spans="7:8" ht="15.75" x14ac:dyDescent="0.25">
      <c r="G36" s="137" t="s">
        <v>317</v>
      </c>
      <c r="H36" s="136" t="s">
        <v>77</v>
      </c>
    </row>
    <row r="37" spans="7:8" x14ac:dyDescent="0.25">
      <c r="G37" s="135" t="s">
        <v>207</v>
      </c>
      <c r="H37" s="128" t="s">
        <v>318</v>
      </c>
    </row>
    <row r="38" spans="7:8" x14ac:dyDescent="0.25">
      <c r="G38" s="135" t="s">
        <v>269</v>
      </c>
      <c r="H38" s="128" t="s">
        <v>324</v>
      </c>
    </row>
  </sheetData>
  <sheetProtection sheet="1" objects="1" scenarios="1"/>
  <dataValidations count="1">
    <dataValidation type="list" allowBlank="1" showInputMessage="1" showErrorMessage="1" sqref="C3" xr:uid="{04E84AFA-64EF-4EB6-BDAE-8FDC91742888}">
      <formula1>ListaUTC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"/>
  <dimension ref="A1:XFC24"/>
  <sheetViews>
    <sheetView showGridLines="0" showRowColHeaders="0" workbookViewId="0">
      <selection activeCell="N4" sqref="N4"/>
    </sheetView>
  </sheetViews>
  <sheetFormatPr baseColWidth="10" defaultRowHeight="15" x14ac:dyDescent="0.25"/>
  <cols>
    <col min="8" max="8" width="7.140625" customWidth="1"/>
    <col min="16383" max="16384" width="0" hidden="1" customWidth="1"/>
  </cols>
  <sheetData>
    <row r="1" spans="1:19 16383:16383" x14ac:dyDescent="0.25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XFC1">
        <v>1</v>
      </c>
    </row>
    <row r="2" spans="1:19 16383:16383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</row>
    <row r="3" spans="1:19 16383:16383" x14ac:dyDescent="0.25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</row>
    <row r="4" spans="1:19 16383:16383" x14ac:dyDescent="0.25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</row>
    <row r="5" spans="1:19 16383:16383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</row>
    <row r="6" spans="1:19 16383:16383" x14ac:dyDescent="0.2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</row>
    <row r="7" spans="1:19 16383:16383" x14ac:dyDescent="0.25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</row>
    <row r="8" spans="1:19 16383:16383" x14ac:dyDescent="0.25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</row>
    <row r="9" spans="1:19 16383:16383" x14ac:dyDescent="0.25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</row>
    <row r="10" spans="1:19 16383:16383" x14ac:dyDescent="0.25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</row>
    <row r="11" spans="1:19 16383:16383" x14ac:dyDescent="0.25">
      <c r="A11" s="173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</row>
    <row r="12" spans="1:19 16383:16383" x14ac:dyDescent="0.25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</row>
    <row r="13" spans="1:19 16383:16383" x14ac:dyDescent="0.25">
      <c r="A13" s="173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</row>
    <row r="14" spans="1:19 16383:16383" x14ac:dyDescent="0.25">
      <c r="A14" s="173"/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</row>
    <row r="15" spans="1:19 16383:16383" x14ac:dyDescent="0.25">
      <c r="A15" s="173"/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</row>
    <row r="16" spans="1:19 16383:16383" x14ac:dyDescent="0.25">
      <c r="A16" s="173"/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x14ac:dyDescent="0.25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x14ac:dyDescent="0.2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</row>
    <row r="19" spans="1:19" x14ac:dyDescent="0.25">
      <c r="A19" s="173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</row>
    <row r="20" spans="1:19" x14ac:dyDescent="0.25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</row>
    <row r="21" spans="1:19" x14ac:dyDescent="0.25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</row>
    <row r="22" spans="1:19" x14ac:dyDescent="0.25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19" ht="11.25" customHeight="1" x14ac:dyDescent="0.25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</row>
    <row r="24" spans="1:19" x14ac:dyDescent="0.25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</row>
  </sheetData>
  <sheetProtection algorithmName="SHA-512" hashValue="Ru1xCVLm+2k8CioPleQdslVuWJ99hqRZ4SfnAeooGTWqAnMNMUTZksgViJAp62OIT9ska+H5vb5vFBJJwJ9l0Q==" saltValue="z5i4J9HsfSMJ5IS0amW0Hg==" spinCount="100000" sheet="1" objects="1" scenarios="1" selectLockedCells="1" selectUnlockedCells="1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3"/>
  <dimension ref="A1:AJ496"/>
  <sheetViews>
    <sheetView showGridLines="0" showRowColHeaders="0" workbookViewId="0">
      <selection activeCell="D1" sqref="D1"/>
    </sheetView>
  </sheetViews>
  <sheetFormatPr baseColWidth="10" defaultRowHeight="15" x14ac:dyDescent="0.25"/>
  <cols>
    <col min="1" max="1" width="20.140625" customWidth="1"/>
    <col min="2" max="2" width="5" customWidth="1"/>
    <col min="3" max="3" width="4.7109375" customWidth="1"/>
    <col min="4" max="4" width="10" bestFit="1" customWidth="1"/>
    <col min="5" max="5" width="4.7109375" customWidth="1"/>
    <col min="6" max="6" width="4.28515625" bestFit="1" customWidth="1"/>
    <col min="7" max="7" width="17.140625" bestFit="1" customWidth="1"/>
    <col min="8" max="8" width="9.7109375" bestFit="1" customWidth="1"/>
    <col min="9" max="9" width="8.28515625" bestFit="1" customWidth="1"/>
    <col min="10" max="11" width="17.42578125" bestFit="1" customWidth="1"/>
    <col min="12" max="12" width="13.140625" bestFit="1" customWidth="1"/>
    <col min="13" max="13" width="30.85546875" bestFit="1" customWidth="1"/>
    <col min="14" max="14" width="20.7109375" bestFit="1" customWidth="1"/>
    <col min="15" max="15" width="9.7109375" bestFit="1" customWidth="1"/>
    <col min="16" max="16" width="12.28515625" bestFit="1" customWidth="1"/>
    <col min="17" max="17" width="17.5703125" bestFit="1" customWidth="1"/>
    <col min="18" max="18" width="4.7109375" customWidth="1"/>
    <col min="19" max="19" width="5.85546875" bestFit="1" customWidth="1"/>
    <col min="20" max="20" width="13.5703125" customWidth="1"/>
    <col min="21" max="21" width="5.42578125" customWidth="1"/>
    <col min="22" max="22" width="5.28515625" customWidth="1"/>
    <col min="23" max="23" width="5.42578125" customWidth="1"/>
    <col min="24" max="24" width="5.140625" customWidth="1"/>
    <col min="25" max="25" width="5.5703125" customWidth="1"/>
    <col min="26" max="26" width="4.7109375" customWidth="1"/>
    <col min="27" max="27" width="5.28515625" customWidth="1"/>
    <col min="28" max="28" width="5" customWidth="1"/>
    <col min="29" max="29" width="1.7109375" customWidth="1"/>
    <col min="30" max="30" width="17.140625" customWidth="1"/>
    <col min="31" max="31" width="1.7109375" customWidth="1"/>
    <col min="32" max="32" width="6.5703125" bestFit="1" customWidth="1"/>
    <col min="33" max="33" width="5.7109375" bestFit="1" customWidth="1"/>
    <col min="34" max="34" width="1.7109375" customWidth="1"/>
    <col min="35" max="35" width="4.7109375" bestFit="1" customWidth="1"/>
    <col min="36" max="36" width="5.7109375" bestFit="1" customWidth="1"/>
  </cols>
  <sheetData>
    <row r="1" spans="1:36" ht="23.25" customHeight="1" x14ac:dyDescent="0.25">
      <c r="A1" s="186" t="s">
        <v>19</v>
      </c>
      <c r="D1" s="101" t="s">
        <v>233</v>
      </c>
      <c r="F1" s="174" t="s">
        <v>81</v>
      </c>
      <c r="G1" s="175" t="s">
        <v>197</v>
      </c>
      <c r="H1" s="175" t="s">
        <v>198</v>
      </c>
      <c r="I1" s="175" t="s">
        <v>199</v>
      </c>
      <c r="J1" s="175" t="s">
        <v>200</v>
      </c>
      <c r="K1" s="175" t="s">
        <v>201</v>
      </c>
      <c r="L1" s="175" t="s">
        <v>202</v>
      </c>
      <c r="M1" s="176" t="s">
        <v>203</v>
      </c>
      <c r="N1" s="177" t="s">
        <v>204</v>
      </c>
      <c r="O1" s="177" t="s">
        <v>423</v>
      </c>
      <c r="P1" s="177" t="s">
        <v>422</v>
      </c>
      <c r="Q1" s="177" t="s">
        <v>424</v>
      </c>
      <c r="S1" s="178" t="s">
        <v>951</v>
      </c>
      <c r="T1" s="178" t="s">
        <v>950</v>
      </c>
      <c r="U1" s="179" t="s">
        <v>438</v>
      </c>
      <c r="V1" s="179" t="s">
        <v>439</v>
      </c>
      <c r="W1" s="179" t="s">
        <v>440</v>
      </c>
      <c r="X1" s="179" t="s">
        <v>441</v>
      </c>
      <c r="Y1" s="179" t="s">
        <v>442</v>
      </c>
      <c r="Z1" s="179" t="s">
        <v>443</v>
      </c>
      <c r="AA1" s="179" t="s">
        <v>444</v>
      </c>
      <c r="AB1" s="180" t="s">
        <v>445</v>
      </c>
      <c r="AD1" s="181" t="s">
        <v>944</v>
      </c>
      <c r="AE1" s="147"/>
      <c r="AF1" s="187" t="s">
        <v>952</v>
      </c>
      <c r="AG1" s="187" t="s">
        <v>953</v>
      </c>
      <c r="AI1" s="187" t="s">
        <v>942</v>
      </c>
      <c r="AJ1" s="187" t="s">
        <v>953</v>
      </c>
    </row>
    <row r="2" spans="1:36" ht="23.25" customHeight="1" x14ac:dyDescent="0.25">
      <c r="A2" s="186" t="s">
        <v>358</v>
      </c>
      <c r="D2" s="101" t="s">
        <v>234</v>
      </c>
      <c r="F2" s="101">
        <v>1</v>
      </c>
      <c r="G2" s="101" t="s">
        <v>192</v>
      </c>
      <c r="H2" s="102">
        <v>46184</v>
      </c>
      <c r="I2" s="103">
        <v>0.625</v>
      </c>
      <c r="J2" s="101" t="s">
        <v>31</v>
      </c>
      <c r="K2" s="101" t="s">
        <v>193</v>
      </c>
      <c r="L2" s="104" t="s">
        <v>132</v>
      </c>
      <c r="M2" s="104" t="s">
        <v>366</v>
      </c>
      <c r="N2" s="104" t="s">
        <v>205</v>
      </c>
      <c r="O2" s="101" t="s">
        <v>241</v>
      </c>
      <c r="P2" s="128">
        <f>(MID(tDatos[[#This Row],[UTCO]],5,2)+RIGHT(tDatos[[#This Row],[UTCO]],2)/60)*IF(tDatos[[#This Row],[UTCO]]="","",IF(MID(tDatos[[#This Row],[UTCO]],4,1)="+",1,-1))</f>
        <v>-4</v>
      </c>
      <c r="Q2" s="160">
        <f>IFERROR(tDatos[[#This Row],[FECHA]]+tDatos[[#This Row],[HORA]]+(((CoefUTCD)-(tDatos[[#This Row],[CoefUTCO]]))/24),tDatos[[#This Row],[FECHA]]+tDatos[[#This Row],[HORA]])</f>
        <v>46184.625</v>
      </c>
      <c r="R2" s="100"/>
      <c r="S2" s="168">
        <v>4080</v>
      </c>
      <c r="T2" s="168" t="s">
        <v>446</v>
      </c>
      <c r="U2" s="167" t="s">
        <v>430</v>
      </c>
      <c r="V2" s="167" t="s">
        <v>435</v>
      </c>
      <c r="W2" s="167" t="s">
        <v>434</v>
      </c>
      <c r="X2" s="167" t="s">
        <v>431</v>
      </c>
      <c r="Y2" s="167" t="s">
        <v>433</v>
      </c>
      <c r="Z2" s="167" t="s">
        <v>432</v>
      </c>
      <c r="AA2" s="167" t="s">
        <v>437</v>
      </c>
      <c r="AB2" s="169" t="s">
        <v>436</v>
      </c>
      <c r="AD2" s="166" t="str">
        <f>Dieciseisavos!$Y$10&amp;Dieciseisavos!$Y$15&amp;Dieciseisavos!$Y$20&amp;Dieciseisavos!$Y$25&amp;Dieciseisavos!$Y$30&amp;Dieciseisavos!$Y$35&amp;Dieciseisavos!$Y$40&amp;Dieciseisavos!$Y$45</f>
        <v>KFLEBJDI</v>
      </c>
      <c r="AF2" s="188" t="s">
        <v>426</v>
      </c>
      <c r="AG2" s="188">
        <v>1</v>
      </c>
      <c r="AI2" s="188">
        <v>1</v>
      </c>
      <c r="AJ2" s="188">
        <f t="shared" ref="AJ2:AJ9" si="0">SUM(VLOOKUP(MID(clave, AI2, 1), $AF$2:$AG$13, 2, 0))</f>
        <v>1024</v>
      </c>
    </row>
    <row r="3" spans="1:36" ht="23.25" customHeight="1" x14ac:dyDescent="0.25">
      <c r="A3" s="186" t="s">
        <v>225</v>
      </c>
      <c r="D3" s="101" t="s">
        <v>235</v>
      </c>
      <c r="F3" s="101">
        <v>2</v>
      </c>
      <c r="G3" s="101" t="s">
        <v>192</v>
      </c>
      <c r="H3" s="102">
        <v>46184</v>
      </c>
      <c r="I3" s="103">
        <v>0.91666666666666663</v>
      </c>
      <c r="J3" s="101" t="s">
        <v>360</v>
      </c>
      <c r="K3" s="101" t="s">
        <v>312</v>
      </c>
      <c r="L3" s="104" t="s">
        <v>132</v>
      </c>
      <c r="M3" s="104" t="s">
        <v>367</v>
      </c>
      <c r="N3" s="104" t="s">
        <v>206</v>
      </c>
      <c r="O3" s="101" t="s">
        <v>241</v>
      </c>
      <c r="P3" s="128">
        <f>(MID(tDatos[[#This Row],[UTCO]],5,2)+RIGHT(tDatos[[#This Row],[UTCO]],2)/60)*IF(tDatos[[#This Row],[UTCO]]="","",IF(MID(tDatos[[#This Row],[UTCO]],4,1)="+",1,-1))</f>
        <v>-4</v>
      </c>
      <c r="Q3" s="160">
        <f>IFERROR(tDatos[[#This Row],[FECHA]]+tDatos[[#This Row],[HORA]]+(((CoefUTCD)-(tDatos[[#This Row],[CoefUTCO]]))/24),tDatos[[#This Row],[FECHA]]+tDatos[[#This Row],[HORA]])</f>
        <v>46184.916666666664</v>
      </c>
      <c r="S3" s="168">
        <v>4072</v>
      </c>
      <c r="T3" s="168" t="s">
        <v>447</v>
      </c>
      <c r="U3" s="167" t="s">
        <v>433</v>
      </c>
      <c r="V3" s="167" t="s">
        <v>432</v>
      </c>
      <c r="W3" s="167" t="s">
        <v>434</v>
      </c>
      <c r="X3" s="167" t="s">
        <v>429</v>
      </c>
      <c r="Y3" s="167" t="s">
        <v>435</v>
      </c>
      <c r="Z3" s="167" t="s">
        <v>431</v>
      </c>
      <c r="AA3" s="167" t="s">
        <v>437</v>
      </c>
      <c r="AB3" s="169" t="s">
        <v>436</v>
      </c>
      <c r="AD3" s="166">
        <f>SUM(AJ2:AJ9)</f>
        <v>3898</v>
      </c>
      <c r="AF3" s="188" t="s">
        <v>427</v>
      </c>
      <c r="AG3" s="188">
        <v>2</v>
      </c>
      <c r="AI3" s="188">
        <v>2</v>
      </c>
      <c r="AJ3" s="188">
        <f t="shared" si="0"/>
        <v>32</v>
      </c>
    </row>
    <row r="4" spans="1:36" ht="23.25" customHeight="1" x14ac:dyDescent="0.25">
      <c r="A4" s="186" t="s">
        <v>18</v>
      </c>
      <c r="D4" s="101" t="s">
        <v>236</v>
      </c>
      <c r="F4" s="101">
        <v>3</v>
      </c>
      <c r="G4" s="101" t="s">
        <v>191</v>
      </c>
      <c r="H4" s="102">
        <v>46185</v>
      </c>
      <c r="I4" s="103">
        <v>0.625</v>
      </c>
      <c r="J4" s="101" t="s">
        <v>67</v>
      </c>
      <c r="K4" s="101" t="s">
        <v>274</v>
      </c>
      <c r="L4" s="104" t="s">
        <v>140</v>
      </c>
      <c r="M4" s="104" t="s">
        <v>373</v>
      </c>
      <c r="N4" s="104" t="s">
        <v>207</v>
      </c>
      <c r="O4" s="101" t="s">
        <v>241</v>
      </c>
      <c r="P4" s="128">
        <f>(MID(tDatos[[#This Row],[UTCO]],5,2)+RIGHT(tDatos[[#This Row],[UTCO]],2)/60)*IF(tDatos[[#This Row],[UTCO]]="","",IF(MID(tDatos[[#This Row],[UTCO]],4,1)="+",1,-1))</f>
        <v>-4</v>
      </c>
      <c r="Q4" s="160">
        <f>IFERROR(tDatos[[#This Row],[FECHA]]+tDatos[[#This Row],[HORA]]+(((CoefUTCD)-(tDatos[[#This Row],[CoefUTCO]]))/24),tDatos[[#This Row],[FECHA]]+tDatos[[#This Row],[HORA]])</f>
        <v>46185.625</v>
      </c>
      <c r="S4" s="168">
        <v>4056</v>
      </c>
      <c r="T4" s="168" t="s">
        <v>448</v>
      </c>
      <c r="U4" s="167" t="s">
        <v>430</v>
      </c>
      <c r="V4" s="167" t="s">
        <v>435</v>
      </c>
      <c r="W4" s="167" t="s">
        <v>434</v>
      </c>
      <c r="X4" s="167" t="s">
        <v>429</v>
      </c>
      <c r="Y4" s="167" t="s">
        <v>433</v>
      </c>
      <c r="Z4" s="167" t="s">
        <v>432</v>
      </c>
      <c r="AA4" s="167" t="s">
        <v>437</v>
      </c>
      <c r="AB4" s="169" t="s">
        <v>436</v>
      </c>
      <c r="AD4" s="181" t="s">
        <v>945</v>
      </c>
      <c r="AF4" s="188" t="s">
        <v>428</v>
      </c>
      <c r="AG4" s="188">
        <v>4</v>
      </c>
      <c r="AI4" s="188">
        <v>3</v>
      </c>
      <c r="AJ4" s="188">
        <f t="shared" si="0"/>
        <v>2048</v>
      </c>
    </row>
    <row r="5" spans="1:36" ht="23.25" customHeight="1" x14ac:dyDescent="0.25">
      <c r="A5" s="186" t="s">
        <v>12</v>
      </c>
      <c r="D5" s="101" t="s">
        <v>237</v>
      </c>
      <c r="F5" s="101">
        <v>4</v>
      </c>
      <c r="G5" s="101" t="s">
        <v>191</v>
      </c>
      <c r="H5" s="102">
        <v>46185</v>
      </c>
      <c r="I5" s="103">
        <v>0.875</v>
      </c>
      <c r="J5" s="101" t="s">
        <v>69</v>
      </c>
      <c r="K5" s="101" t="s">
        <v>208</v>
      </c>
      <c r="L5" s="104" t="s">
        <v>121</v>
      </c>
      <c r="M5" s="104" t="s">
        <v>369</v>
      </c>
      <c r="N5" s="104" t="s">
        <v>383</v>
      </c>
      <c r="O5" s="101" t="s">
        <v>241</v>
      </c>
      <c r="P5" s="128">
        <f>(MID(tDatos[[#This Row],[UTCO]],5,2)+RIGHT(tDatos[[#This Row],[UTCO]],2)/60)*IF(tDatos[[#This Row],[UTCO]]="","",IF(MID(tDatos[[#This Row],[UTCO]],4,1)="+",1,-1))</f>
        <v>-4</v>
      </c>
      <c r="Q5" s="160">
        <f>IFERROR(tDatos[[#This Row],[FECHA]]+tDatos[[#This Row],[HORA]]+(((CoefUTCD)-(tDatos[[#This Row],[CoefUTCO]]))/24),tDatos[[#This Row],[FECHA]]+tDatos[[#This Row],[HORA]])</f>
        <v>46185.875</v>
      </c>
      <c r="S5" s="168">
        <v>4024</v>
      </c>
      <c r="T5" s="168" t="s">
        <v>449</v>
      </c>
      <c r="U5" s="167" t="s">
        <v>430</v>
      </c>
      <c r="V5" s="167" t="s">
        <v>435</v>
      </c>
      <c r="W5" s="167" t="s">
        <v>434</v>
      </c>
      <c r="X5" s="167" t="s">
        <v>429</v>
      </c>
      <c r="Y5" s="167" t="s">
        <v>433</v>
      </c>
      <c r="Z5" s="167" t="s">
        <v>431</v>
      </c>
      <c r="AA5" s="167" t="s">
        <v>437</v>
      </c>
      <c r="AB5" s="169" t="s">
        <v>436</v>
      </c>
      <c r="AD5" s="166" t="str">
        <f>TerceroA</f>
        <v>COREA del SUR</v>
      </c>
      <c r="AF5" s="188" t="s">
        <v>429</v>
      </c>
      <c r="AG5" s="188">
        <v>8</v>
      </c>
      <c r="AI5" s="188">
        <v>4</v>
      </c>
      <c r="AJ5" s="188">
        <f t="shared" si="0"/>
        <v>16</v>
      </c>
    </row>
    <row r="6" spans="1:36" ht="23.25" customHeight="1" x14ac:dyDescent="0.25">
      <c r="A6" s="186" t="s">
        <v>227</v>
      </c>
      <c r="D6" s="101" t="s">
        <v>238</v>
      </c>
      <c r="F6" s="101">
        <v>5</v>
      </c>
      <c r="G6" s="101" t="s">
        <v>190</v>
      </c>
      <c r="H6" s="102">
        <v>46186</v>
      </c>
      <c r="I6" s="103">
        <v>0.625</v>
      </c>
      <c r="J6" s="101" t="s">
        <v>64</v>
      </c>
      <c r="K6" s="101" t="s">
        <v>16</v>
      </c>
      <c r="L6" s="104" t="s">
        <v>140</v>
      </c>
      <c r="M6" s="104" t="s">
        <v>374</v>
      </c>
      <c r="N6" s="104" t="s">
        <v>268</v>
      </c>
      <c r="O6" s="101" t="s">
        <v>241</v>
      </c>
      <c r="P6" s="128">
        <f>(MID(tDatos[[#This Row],[UTCO]],5,2)+RIGHT(tDatos[[#This Row],[UTCO]],2)/60)*IF(tDatos[[#This Row],[UTCO]]="","",IF(MID(tDatos[[#This Row],[UTCO]],4,1)="+",1,-1))</f>
        <v>-4</v>
      </c>
      <c r="Q6" s="160">
        <f>IFERROR(tDatos[[#This Row],[FECHA]]+tDatos[[#This Row],[HORA]]+(((CoefUTCD)-(tDatos[[#This Row],[CoefUTCO]]))/24),tDatos[[#This Row],[FECHA]]+tDatos[[#This Row],[HORA]])</f>
        <v>46186.625</v>
      </c>
      <c r="S6" s="168">
        <v>3960</v>
      </c>
      <c r="T6" s="168" t="s">
        <v>450</v>
      </c>
      <c r="U6" s="167" t="s">
        <v>430</v>
      </c>
      <c r="V6" s="167" t="s">
        <v>432</v>
      </c>
      <c r="W6" s="167" t="s">
        <v>434</v>
      </c>
      <c r="X6" s="167" t="s">
        <v>429</v>
      </c>
      <c r="Y6" s="167" t="s">
        <v>435</v>
      </c>
      <c r="Z6" s="167" t="s">
        <v>431</v>
      </c>
      <c r="AA6" s="167" t="s">
        <v>437</v>
      </c>
      <c r="AB6" s="169" t="s">
        <v>436</v>
      </c>
      <c r="AD6" s="128" t="str">
        <f>TerceroB</f>
        <v>BOSNIA y HERZEG.</v>
      </c>
      <c r="AF6" s="188" t="s">
        <v>430</v>
      </c>
      <c r="AG6" s="188">
        <v>16</v>
      </c>
      <c r="AI6" s="188">
        <v>5</v>
      </c>
      <c r="AJ6" s="188">
        <f t="shared" si="0"/>
        <v>2</v>
      </c>
    </row>
    <row r="7" spans="1:36" ht="23.25" customHeight="1" x14ac:dyDescent="0.25">
      <c r="A7" s="186" t="s">
        <v>32</v>
      </c>
      <c r="D7" s="101" t="s">
        <v>239</v>
      </c>
      <c r="F7" s="101">
        <v>6</v>
      </c>
      <c r="G7" s="101" t="s">
        <v>190</v>
      </c>
      <c r="H7" s="102">
        <v>46186</v>
      </c>
      <c r="I7" s="103">
        <v>0.75</v>
      </c>
      <c r="J7" s="101" t="s">
        <v>10</v>
      </c>
      <c r="K7" s="101" t="s">
        <v>29</v>
      </c>
      <c r="L7" s="104" t="s">
        <v>136</v>
      </c>
      <c r="M7" s="104" t="s">
        <v>370</v>
      </c>
      <c r="N7" s="104" t="s">
        <v>209</v>
      </c>
      <c r="O7" s="101" t="s">
        <v>241</v>
      </c>
      <c r="P7" s="128">
        <f>(MID(tDatos[[#This Row],[UTCO]],5,2)+RIGHT(tDatos[[#This Row],[UTCO]],2)/60)*IF(tDatos[[#This Row],[UTCO]]="","",IF(MID(tDatos[[#This Row],[UTCO]],4,1)="+",1,-1))</f>
        <v>-4</v>
      </c>
      <c r="Q7" s="160">
        <f>IFERROR(tDatos[[#This Row],[FECHA]]+tDatos[[#This Row],[HORA]]+(((CoefUTCD)-(tDatos[[#This Row],[CoefUTCO]]))/24),tDatos[[#This Row],[FECHA]]+tDatos[[#This Row],[HORA]])</f>
        <v>46186.75</v>
      </c>
      <c r="S7" s="168">
        <v>3832</v>
      </c>
      <c r="T7" s="168" t="s">
        <v>451</v>
      </c>
      <c r="U7" s="167" t="s">
        <v>430</v>
      </c>
      <c r="V7" s="167" t="s">
        <v>432</v>
      </c>
      <c r="W7" s="167" t="s">
        <v>435</v>
      </c>
      <c r="X7" s="167" t="s">
        <v>429</v>
      </c>
      <c r="Y7" s="167" t="s">
        <v>433</v>
      </c>
      <c r="Z7" s="167" t="s">
        <v>431</v>
      </c>
      <c r="AA7" s="167" t="s">
        <v>437</v>
      </c>
      <c r="AB7" s="169" t="s">
        <v>436</v>
      </c>
      <c r="AD7" s="128" t="str">
        <f>TerceroC</f>
        <v>ESCOCIA</v>
      </c>
      <c r="AF7" s="188" t="s">
        <v>431</v>
      </c>
      <c r="AG7" s="188">
        <v>32</v>
      </c>
      <c r="AI7" s="188">
        <v>6</v>
      </c>
      <c r="AJ7" s="188">
        <f t="shared" si="0"/>
        <v>512</v>
      </c>
    </row>
    <row r="8" spans="1:36" ht="23.25" customHeight="1" x14ac:dyDescent="0.25">
      <c r="A8" s="186" t="s">
        <v>274</v>
      </c>
      <c r="D8" s="101" t="s">
        <v>240</v>
      </c>
      <c r="F8" s="101">
        <v>7</v>
      </c>
      <c r="G8" s="101" t="s">
        <v>190</v>
      </c>
      <c r="H8" s="102">
        <v>46186</v>
      </c>
      <c r="I8" s="103">
        <v>0.875</v>
      </c>
      <c r="J8" s="101" t="s">
        <v>210</v>
      </c>
      <c r="K8" s="101" t="s">
        <v>211</v>
      </c>
      <c r="L8" s="104" t="s">
        <v>136</v>
      </c>
      <c r="M8" s="104" t="s">
        <v>371</v>
      </c>
      <c r="N8" s="104" t="s">
        <v>212</v>
      </c>
      <c r="O8" s="101" t="s">
        <v>241</v>
      </c>
      <c r="P8" s="128">
        <f>(MID(tDatos[[#This Row],[UTCO]],5,2)+RIGHT(tDatos[[#This Row],[UTCO]],2)/60)*IF(tDatos[[#This Row],[UTCO]]="","",IF(MID(tDatos[[#This Row],[UTCO]],4,1)="+",1,-1))</f>
        <v>-4</v>
      </c>
      <c r="Q8" s="160">
        <f>IFERROR(tDatos[[#This Row],[FECHA]]+tDatos[[#This Row],[HORA]]+(((CoefUTCD)-(tDatos[[#This Row],[CoefUTCO]]))/24),tDatos[[#This Row],[FECHA]]+tDatos[[#This Row],[HORA]])</f>
        <v>46186.875</v>
      </c>
      <c r="S8" s="168">
        <v>3576</v>
      </c>
      <c r="T8" s="168" t="s">
        <v>452</v>
      </c>
      <c r="U8" s="167" t="s">
        <v>430</v>
      </c>
      <c r="V8" s="167" t="s">
        <v>432</v>
      </c>
      <c r="W8" s="167" t="s">
        <v>434</v>
      </c>
      <c r="X8" s="167" t="s">
        <v>429</v>
      </c>
      <c r="Y8" s="167" t="s">
        <v>433</v>
      </c>
      <c r="Z8" s="167" t="s">
        <v>431</v>
      </c>
      <c r="AA8" s="167" t="s">
        <v>437</v>
      </c>
      <c r="AB8" s="169" t="s">
        <v>436</v>
      </c>
      <c r="AD8" s="128" t="str">
        <f>TerceroD</f>
        <v>PARAGUAY</v>
      </c>
      <c r="AF8" s="188" t="s">
        <v>432</v>
      </c>
      <c r="AG8" s="188">
        <v>64</v>
      </c>
      <c r="AI8" s="188">
        <v>7</v>
      </c>
      <c r="AJ8" s="188">
        <f t="shared" si="0"/>
        <v>8</v>
      </c>
    </row>
    <row r="9" spans="1:36" ht="23.25" customHeight="1" x14ac:dyDescent="0.25">
      <c r="A9" s="186" t="s">
        <v>10</v>
      </c>
      <c r="D9" s="101" t="s">
        <v>241</v>
      </c>
      <c r="F9" s="101">
        <v>8</v>
      </c>
      <c r="G9" s="101" t="s">
        <v>419</v>
      </c>
      <c r="H9" s="102">
        <v>46187</v>
      </c>
      <c r="I9" s="103">
        <v>0</v>
      </c>
      <c r="J9" s="101" t="s">
        <v>12</v>
      </c>
      <c r="K9" s="101" t="s">
        <v>275</v>
      </c>
      <c r="L9" s="104" t="s">
        <v>121</v>
      </c>
      <c r="M9" s="104" t="s">
        <v>372</v>
      </c>
      <c r="N9" s="104" t="s">
        <v>269</v>
      </c>
      <c r="O9" s="101" t="s">
        <v>241</v>
      </c>
      <c r="P9" s="128">
        <f>(MID(tDatos[[#This Row],[UTCO]],5,2)+RIGHT(tDatos[[#This Row],[UTCO]],2)/60)*IF(tDatos[[#This Row],[UTCO]]="","",IF(MID(tDatos[[#This Row],[UTCO]],4,1)="+",1,-1))</f>
        <v>-4</v>
      </c>
      <c r="Q9" s="160">
        <f>IFERROR(tDatos[[#This Row],[FECHA]]+tDatos[[#This Row],[HORA]]+(((CoefUTCD)-(tDatos[[#This Row],[CoefUTCO]]))/24),tDatos[[#This Row],[FECHA]]+tDatos[[#This Row],[HORA]])</f>
        <v>46187</v>
      </c>
      <c r="S9" s="168">
        <v>3064</v>
      </c>
      <c r="T9" s="168" t="s">
        <v>453</v>
      </c>
      <c r="U9" s="167" t="s">
        <v>430</v>
      </c>
      <c r="V9" s="167" t="s">
        <v>432</v>
      </c>
      <c r="W9" s="167" t="s">
        <v>435</v>
      </c>
      <c r="X9" s="167" t="s">
        <v>429</v>
      </c>
      <c r="Y9" s="167" t="s">
        <v>433</v>
      </c>
      <c r="Z9" s="167" t="s">
        <v>431</v>
      </c>
      <c r="AA9" s="167" t="s">
        <v>437</v>
      </c>
      <c r="AB9" s="169" t="s">
        <v>434</v>
      </c>
      <c r="AD9" s="128" t="str">
        <f>TerceroE</f>
        <v>ECUADOR</v>
      </c>
      <c r="AF9" s="188" t="s">
        <v>433</v>
      </c>
      <c r="AG9" s="188">
        <v>128</v>
      </c>
      <c r="AI9" s="188">
        <v>8</v>
      </c>
      <c r="AJ9" s="188">
        <f t="shared" si="0"/>
        <v>256</v>
      </c>
    </row>
    <row r="10" spans="1:36" ht="23.25" customHeight="1" x14ac:dyDescent="0.25">
      <c r="A10" s="186" t="s">
        <v>218</v>
      </c>
      <c r="D10" s="101" t="s">
        <v>232</v>
      </c>
      <c r="F10" s="101">
        <v>9</v>
      </c>
      <c r="G10" s="101" t="s">
        <v>185</v>
      </c>
      <c r="H10" s="102">
        <v>46187</v>
      </c>
      <c r="I10" s="103">
        <v>0.54166666666666663</v>
      </c>
      <c r="J10" s="101" t="s">
        <v>19</v>
      </c>
      <c r="K10" s="101" t="s">
        <v>213</v>
      </c>
      <c r="L10" s="104" t="s">
        <v>128</v>
      </c>
      <c r="M10" s="104" t="s">
        <v>375</v>
      </c>
      <c r="N10" s="104" t="s">
        <v>214</v>
      </c>
      <c r="O10" s="101" t="s">
        <v>241</v>
      </c>
      <c r="P10" s="128">
        <f>(MID(tDatos[[#This Row],[UTCO]],5,2)+RIGHT(tDatos[[#This Row],[UTCO]],2)/60)*IF(tDatos[[#This Row],[UTCO]]="","",IF(MID(tDatos[[#This Row],[UTCO]],4,1)="+",1,-1))</f>
        <v>-4</v>
      </c>
      <c r="Q10" s="160">
        <f>IFERROR(tDatos[[#This Row],[FECHA]]+tDatos[[#This Row],[HORA]]+(((CoefUTCD)-(tDatos[[#This Row],[CoefUTCO]]))/24),tDatos[[#This Row],[FECHA]]+tDatos[[#This Row],[HORA]])</f>
        <v>46187.541666666664</v>
      </c>
      <c r="S10" s="168">
        <v>2040</v>
      </c>
      <c r="T10" s="168" t="s">
        <v>454</v>
      </c>
      <c r="U10" s="167" t="s">
        <v>430</v>
      </c>
      <c r="V10" s="167" t="s">
        <v>432</v>
      </c>
      <c r="W10" s="167" t="s">
        <v>435</v>
      </c>
      <c r="X10" s="167" t="s">
        <v>429</v>
      </c>
      <c r="Y10" s="167" t="s">
        <v>433</v>
      </c>
      <c r="Z10" s="167" t="s">
        <v>431</v>
      </c>
      <c r="AA10" s="167" t="s">
        <v>434</v>
      </c>
      <c r="AB10" s="169" t="s">
        <v>436</v>
      </c>
      <c r="AD10" s="128" t="str">
        <f>TerceroF</f>
        <v>SUECIA</v>
      </c>
      <c r="AF10" s="188" t="s">
        <v>434</v>
      </c>
      <c r="AG10" s="188">
        <v>256</v>
      </c>
    </row>
    <row r="11" spans="1:36" ht="23.25" customHeight="1" x14ac:dyDescent="0.25">
      <c r="A11" s="186" t="s">
        <v>67</v>
      </c>
      <c r="D11" s="101" t="s">
        <v>245</v>
      </c>
      <c r="F11" s="101">
        <v>10</v>
      </c>
      <c r="G11" s="101" t="s">
        <v>185</v>
      </c>
      <c r="H11" s="102">
        <v>46187</v>
      </c>
      <c r="I11" s="103">
        <v>0.66666666666666663</v>
      </c>
      <c r="J11" s="101" t="s">
        <v>66</v>
      </c>
      <c r="K11" s="101" t="s">
        <v>34</v>
      </c>
      <c r="L11" s="104" t="s">
        <v>124</v>
      </c>
      <c r="M11" s="104" t="s">
        <v>376</v>
      </c>
      <c r="N11" s="104" t="s">
        <v>215</v>
      </c>
      <c r="O11" s="101" t="s">
        <v>241</v>
      </c>
      <c r="P11" s="128">
        <f>(MID(tDatos[[#This Row],[UTCO]],5,2)+RIGHT(tDatos[[#This Row],[UTCO]],2)/60)*IF(tDatos[[#This Row],[UTCO]]="","",IF(MID(tDatos[[#This Row],[UTCO]],4,1)="+",1,-1))</f>
        <v>-4</v>
      </c>
      <c r="Q11" s="160">
        <f>IFERROR(tDatos[[#This Row],[FECHA]]+tDatos[[#This Row],[HORA]]+(((CoefUTCD)-(tDatos[[#This Row],[CoefUTCO]]))/24),tDatos[[#This Row],[FECHA]]+tDatos[[#This Row],[HORA]])</f>
        <v>46187.666666666664</v>
      </c>
      <c r="S11" s="168">
        <v>4068</v>
      </c>
      <c r="T11" s="168" t="s">
        <v>455</v>
      </c>
      <c r="U11" s="167" t="s">
        <v>433</v>
      </c>
      <c r="V11" s="167" t="s">
        <v>432</v>
      </c>
      <c r="W11" s="167" t="s">
        <v>434</v>
      </c>
      <c r="X11" s="167" t="s">
        <v>428</v>
      </c>
      <c r="Y11" s="167" t="s">
        <v>435</v>
      </c>
      <c r="Z11" s="167" t="s">
        <v>431</v>
      </c>
      <c r="AA11" s="167" t="s">
        <v>437</v>
      </c>
      <c r="AB11" s="169" t="s">
        <v>436</v>
      </c>
      <c r="AD11" s="128" t="str">
        <f>TerceroG</f>
        <v>IRÁN</v>
      </c>
      <c r="AF11" s="188" t="s">
        <v>435</v>
      </c>
      <c r="AG11" s="188">
        <v>512</v>
      </c>
    </row>
    <row r="12" spans="1:36" ht="23.25" customHeight="1" x14ac:dyDescent="0.25">
      <c r="A12" s="186" t="s">
        <v>64</v>
      </c>
      <c r="D12" s="101" t="s">
        <v>244</v>
      </c>
      <c r="F12" s="101">
        <v>11</v>
      </c>
      <c r="G12" s="101" t="s">
        <v>185</v>
      </c>
      <c r="H12" s="102">
        <v>46187</v>
      </c>
      <c r="I12" s="103">
        <v>0.79166666666666663</v>
      </c>
      <c r="J12" s="101" t="s">
        <v>194</v>
      </c>
      <c r="K12" s="101" t="s">
        <v>65</v>
      </c>
      <c r="L12" s="104" t="s">
        <v>128</v>
      </c>
      <c r="M12" s="104" t="s">
        <v>377</v>
      </c>
      <c r="N12" s="104" t="s">
        <v>216</v>
      </c>
      <c r="O12" s="101" t="s">
        <v>241</v>
      </c>
      <c r="P12" s="128">
        <f>(MID(tDatos[[#This Row],[UTCO]],5,2)+RIGHT(tDatos[[#This Row],[UTCO]],2)/60)*IF(tDatos[[#This Row],[UTCO]]="","",IF(MID(tDatos[[#This Row],[UTCO]],4,1)="+",1,-1))</f>
        <v>-4</v>
      </c>
      <c r="Q12" s="160">
        <f>IFERROR(tDatos[[#This Row],[FECHA]]+tDatos[[#This Row],[HORA]]+(((CoefUTCD)-(tDatos[[#This Row],[CoefUTCO]]))/24),tDatos[[#This Row],[FECHA]]+tDatos[[#This Row],[HORA]])</f>
        <v>46187.791666666664</v>
      </c>
      <c r="S12" s="168">
        <v>4052</v>
      </c>
      <c r="T12" s="168" t="s">
        <v>456</v>
      </c>
      <c r="U12" s="167" t="s">
        <v>430</v>
      </c>
      <c r="V12" s="167" t="s">
        <v>435</v>
      </c>
      <c r="W12" s="167" t="s">
        <v>434</v>
      </c>
      <c r="X12" s="167" t="s">
        <v>428</v>
      </c>
      <c r="Y12" s="167" t="s">
        <v>433</v>
      </c>
      <c r="Z12" s="167" t="s">
        <v>432</v>
      </c>
      <c r="AA12" s="167" t="s">
        <v>437</v>
      </c>
      <c r="AB12" s="169" t="s">
        <v>436</v>
      </c>
      <c r="AD12" s="128" t="str">
        <f>TerceroH</f>
        <v>URUGUAY</v>
      </c>
      <c r="AF12" s="188" t="s">
        <v>436</v>
      </c>
      <c r="AG12" s="188">
        <v>1024</v>
      </c>
    </row>
    <row r="13" spans="1:36" ht="23.25" customHeight="1" x14ac:dyDescent="0.25">
      <c r="A13" s="186" t="s">
        <v>230</v>
      </c>
      <c r="D13" s="101" t="s">
        <v>243</v>
      </c>
      <c r="F13" s="101">
        <v>12</v>
      </c>
      <c r="G13" s="101" t="s">
        <v>185</v>
      </c>
      <c r="H13" s="102">
        <v>46187</v>
      </c>
      <c r="I13" s="103">
        <v>0.91666666666666663</v>
      </c>
      <c r="J13" s="101" t="s">
        <v>276</v>
      </c>
      <c r="K13" s="101" t="s">
        <v>33</v>
      </c>
      <c r="L13" s="104" t="s">
        <v>124</v>
      </c>
      <c r="M13" s="104" t="s">
        <v>378</v>
      </c>
      <c r="N13" s="104" t="s">
        <v>217</v>
      </c>
      <c r="O13" s="101" t="s">
        <v>241</v>
      </c>
      <c r="P13" s="128">
        <f>(MID(tDatos[[#This Row],[UTCO]],5,2)+RIGHT(tDatos[[#This Row],[UTCO]],2)/60)*IF(tDatos[[#This Row],[UTCO]]="","",IF(MID(tDatos[[#This Row],[UTCO]],4,1)="+",1,-1))</f>
        <v>-4</v>
      </c>
      <c r="Q13" s="160">
        <f>IFERROR(tDatos[[#This Row],[FECHA]]+tDatos[[#This Row],[HORA]]+(((CoefUTCD)-(tDatos[[#This Row],[CoefUTCO]]))/24),tDatos[[#This Row],[FECHA]]+tDatos[[#This Row],[HORA]])</f>
        <v>46187.916666666664</v>
      </c>
      <c r="S13" s="168">
        <v>4020</v>
      </c>
      <c r="T13" s="168" t="s">
        <v>457</v>
      </c>
      <c r="U13" s="167" t="s">
        <v>430</v>
      </c>
      <c r="V13" s="167" t="s">
        <v>435</v>
      </c>
      <c r="W13" s="167" t="s">
        <v>434</v>
      </c>
      <c r="X13" s="167" t="s">
        <v>428</v>
      </c>
      <c r="Y13" s="167" t="s">
        <v>433</v>
      </c>
      <c r="Z13" s="167" t="s">
        <v>431</v>
      </c>
      <c r="AA13" s="167" t="s">
        <v>437</v>
      </c>
      <c r="AB13" s="169" t="s">
        <v>436</v>
      </c>
      <c r="AD13" s="128" t="str">
        <f>TerceroI</f>
        <v>SENEGAL</v>
      </c>
      <c r="AF13" s="188" t="s">
        <v>437</v>
      </c>
      <c r="AG13" s="188">
        <v>2048</v>
      </c>
    </row>
    <row r="14" spans="1:36" ht="23.25" customHeight="1" x14ac:dyDescent="0.25">
      <c r="A14" s="186" t="s">
        <v>360</v>
      </c>
      <c r="D14" s="101" t="s">
        <v>242</v>
      </c>
      <c r="F14" s="101">
        <v>13</v>
      </c>
      <c r="G14" s="101" t="s">
        <v>181</v>
      </c>
      <c r="H14" s="102">
        <v>46188</v>
      </c>
      <c r="I14" s="103">
        <v>0.5</v>
      </c>
      <c r="J14" s="101" t="s">
        <v>13</v>
      </c>
      <c r="K14" s="101" t="s">
        <v>218</v>
      </c>
      <c r="L14" s="104" t="s">
        <v>112</v>
      </c>
      <c r="M14" s="104" t="s">
        <v>379</v>
      </c>
      <c r="N14" s="104" t="s">
        <v>219</v>
      </c>
      <c r="O14" s="101" t="s">
        <v>241</v>
      </c>
      <c r="P14" s="128">
        <f>(MID(tDatos[[#This Row],[UTCO]],5,2)+RIGHT(tDatos[[#This Row],[UTCO]],2)/60)*IF(tDatos[[#This Row],[UTCO]]="","",IF(MID(tDatos[[#This Row],[UTCO]],4,1)="+",1,-1))</f>
        <v>-4</v>
      </c>
      <c r="Q14" s="160">
        <f>IFERROR(tDatos[[#This Row],[FECHA]]+tDatos[[#This Row],[HORA]]+(((CoefUTCD)-(tDatos[[#This Row],[CoefUTCO]]))/24),tDatos[[#This Row],[FECHA]]+tDatos[[#This Row],[HORA]])</f>
        <v>46188.5</v>
      </c>
      <c r="S14" s="168">
        <v>3956</v>
      </c>
      <c r="T14" s="168" t="s">
        <v>458</v>
      </c>
      <c r="U14" s="167" t="s">
        <v>430</v>
      </c>
      <c r="V14" s="167" t="s">
        <v>432</v>
      </c>
      <c r="W14" s="167" t="s">
        <v>434</v>
      </c>
      <c r="X14" s="167" t="s">
        <v>428</v>
      </c>
      <c r="Y14" s="167" t="s">
        <v>435</v>
      </c>
      <c r="Z14" s="167" t="s">
        <v>431</v>
      </c>
      <c r="AA14" s="167" t="s">
        <v>437</v>
      </c>
      <c r="AB14" s="169" t="s">
        <v>436</v>
      </c>
      <c r="AD14" s="128" t="str">
        <f>TerceroJ</f>
        <v>ARGELIA</v>
      </c>
    </row>
    <row r="15" spans="1:36" ht="23.25" customHeight="1" x14ac:dyDescent="0.25">
      <c r="A15" s="186" t="s">
        <v>194</v>
      </c>
      <c r="D15" s="101" t="s">
        <v>246</v>
      </c>
      <c r="F15" s="101">
        <v>14</v>
      </c>
      <c r="G15" s="101" t="s">
        <v>181</v>
      </c>
      <c r="H15" s="102">
        <v>46188</v>
      </c>
      <c r="I15" s="103">
        <v>0.625</v>
      </c>
      <c r="J15" s="101" t="s">
        <v>32</v>
      </c>
      <c r="K15" s="101" t="s">
        <v>220</v>
      </c>
      <c r="L15" s="104" t="s">
        <v>106</v>
      </c>
      <c r="M15" s="104" t="s">
        <v>380</v>
      </c>
      <c r="N15" s="104" t="s">
        <v>221</v>
      </c>
      <c r="O15" s="101" t="s">
        <v>241</v>
      </c>
      <c r="P15" s="128">
        <f>(MID(tDatos[[#This Row],[UTCO]],5,2)+RIGHT(tDatos[[#This Row],[UTCO]],2)/60)*IF(tDatos[[#This Row],[UTCO]]="","",IF(MID(tDatos[[#This Row],[UTCO]],4,1)="+",1,-1))</f>
        <v>-4</v>
      </c>
      <c r="Q15" s="160">
        <f>IFERROR(tDatos[[#This Row],[FECHA]]+tDatos[[#This Row],[HORA]]+(((CoefUTCD)-(tDatos[[#This Row],[CoefUTCO]]))/24),tDatos[[#This Row],[FECHA]]+tDatos[[#This Row],[HORA]])</f>
        <v>46188.625</v>
      </c>
      <c r="S15" s="168">
        <v>3828</v>
      </c>
      <c r="T15" s="168" t="s">
        <v>459</v>
      </c>
      <c r="U15" s="167" t="s">
        <v>430</v>
      </c>
      <c r="V15" s="167" t="s">
        <v>432</v>
      </c>
      <c r="W15" s="167" t="s">
        <v>435</v>
      </c>
      <c r="X15" s="167" t="s">
        <v>428</v>
      </c>
      <c r="Y15" s="167" t="s">
        <v>433</v>
      </c>
      <c r="Z15" s="167" t="s">
        <v>431</v>
      </c>
      <c r="AA15" s="167" t="s">
        <v>437</v>
      </c>
      <c r="AB15" s="169" t="s">
        <v>436</v>
      </c>
      <c r="AD15" s="128" t="str">
        <f>TerceroK</f>
        <v>REP. del CONGO</v>
      </c>
    </row>
    <row r="16" spans="1:36" ht="23.25" customHeight="1" x14ac:dyDescent="0.25">
      <c r="A16" s="186" t="s">
        <v>11</v>
      </c>
      <c r="D16" s="101" t="s">
        <v>247</v>
      </c>
      <c r="F16" s="101">
        <v>15</v>
      </c>
      <c r="G16" s="101" t="s">
        <v>181</v>
      </c>
      <c r="H16" s="102">
        <v>46188</v>
      </c>
      <c r="I16" s="103">
        <v>0.75</v>
      </c>
      <c r="J16" s="101" t="s">
        <v>358</v>
      </c>
      <c r="K16" s="101" t="s">
        <v>14</v>
      </c>
      <c r="L16" s="104" t="s">
        <v>112</v>
      </c>
      <c r="M16" s="104" t="s">
        <v>381</v>
      </c>
      <c r="N16" s="104" t="s">
        <v>222</v>
      </c>
      <c r="O16" s="101" t="s">
        <v>241</v>
      </c>
      <c r="P16" s="128">
        <f>(MID(tDatos[[#This Row],[UTCO]],5,2)+RIGHT(tDatos[[#This Row],[UTCO]],2)/60)*IF(tDatos[[#This Row],[UTCO]]="","",IF(MID(tDatos[[#This Row],[UTCO]],4,1)="+",1,-1))</f>
        <v>-4</v>
      </c>
      <c r="Q16" s="160">
        <f>IFERROR(tDatos[[#This Row],[FECHA]]+tDatos[[#This Row],[HORA]]+(((CoefUTCD)-(tDatos[[#This Row],[CoefUTCO]]))/24),tDatos[[#This Row],[FECHA]]+tDatos[[#This Row],[HORA]])</f>
        <v>46188.75</v>
      </c>
      <c r="S16" s="168">
        <v>3572</v>
      </c>
      <c r="T16" s="168" t="s">
        <v>460</v>
      </c>
      <c r="U16" s="167" t="s">
        <v>430</v>
      </c>
      <c r="V16" s="167" t="s">
        <v>432</v>
      </c>
      <c r="W16" s="167" t="s">
        <v>434</v>
      </c>
      <c r="X16" s="167" t="s">
        <v>428</v>
      </c>
      <c r="Y16" s="167" t="s">
        <v>433</v>
      </c>
      <c r="Z16" s="167" t="s">
        <v>431</v>
      </c>
      <c r="AA16" s="167" t="s">
        <v>437</v>
      </c>
      <c r="AB16" s="169" t="s">
        <v>436</v>
      </c>
      <c r="AD16" s="128" t="str">
        <f>TerceroL</f>
        <v>GHANA</v>
      </c>
    </row>
    <row r="17" spans="1:28" ht="23.25" customHeight="1" x14ac:dyDescent="0.25">
      <c r="A17" s="186" t="s">
        <v>213</v>
      </c>
      <c r="D17" s="101" t="s">
        <v>248</v>
      </c>
      <c r="F17" s="101">
        <v>16</v>
      </c>
      <c r="G17" s="101" t="s">
        <v>181</v>
      </c>
      <c r="H17" s="102">
        <v>46188</v>
      </c>
      <c r="I17" s="103">
        <v>0.875</v>
      </c>
      <c r="J17" s="101" t="s">
        <v>30</v>
      </c>
      <c r="K17" s="101" t="s">
        <v>223</v>
      </c>
      <c r="L17" s="104" t="s">
        <v>106</v>
      </c>
      <c r="M17" s="104" t="s">
        <v>369</v>
      </c>
      <c r="N17" s="104" t="s">
        <v>383</v>
      </c>
      <c r="O17" s="101" t="s">
        <v>241</v>
      </c>
      <c r="P17" s="128">
        <f>(MID(tDatos[[#This Row],[UTCO]],5,2)+RIGHT(tDatos[[#This Row],[UTCO]],2)/60)*IF(tDatos[[#This Row],[UTCO]]="","",IF(MID(tDatos[[#This Row],[UTCO]],4,1)="+",1,-1))</f>
        <v>-4</v>
      </c>
      <c r="Q17" s="160">
        <f>IFERROR(tDatos[[#This Row],[FECHA]]+tDatos[[#This Row],[HORA]]+(((CoefUTCD)-(tDatos[[#This Row],[CoefUTCO]]))/24),tDatos[[#This Row],[FECHA]]+tDatos[[#This Row],[HORA]])</f>
        <v>46188.875</v>
      </c>
      <c r="S17" s="168">
        <v>3060</v>
      </c>
      <c r="T17" s="168" t="s">
        <v>461</v>
      </c>
      <c r="U17" s="167" t="s">
        <v>430</v>
      </c>
      <c r="V17" s="167" t="s">
        <v>432</v>
      </c>
      <c r="W17" s="167" t="s">
        <v>435</v>
      </c>
      <c r="X17" s="167" t="s">
        <v>428</v>
      </c>
      <c r="Y17" s="167" t="s">
        <v>433</v>
      </c>
      <c r="Z17" s="167" t="s">
        <v>431</v>
      </c>
      <c r="AA17" s="167" t="s">
        <v>437</v>
      </c>
      <c r="AB17" s="169" t="s">
        <v>434</v>
      </c>
    </row>
    <row r="18" spans="1:28" ht="23.25" customHeight="1" x14ac:dyDescent="0.25">
      <c r="A18" s="186" t="s">
        <v>65</v>
      </c>
      <c r="D18" s="101" t="s">
        <v>256</v>
      </c>
      <c r="F18" s="101">
        <v>17</v>
      </c>
      <c r="G18" s="101" t="s">
        <v>177</v>
      </c>
      <c r="H18" s="102">
        <v>46189</v>
      </c>
      <c r="I18" s="103">
        <v>0.625</v>
      </c>
      <c r="J18" s="101" t="s">
        <v>17</v>
      </c>
      <c r="K18" s="101" t="s">
        <v>35</v>
      </c>
      <c r="L18" s="104" t="s">
        <v>115</v>
      </c>
      <c r="M18" s="104" t="s">
        <v>370</v>
      </c>
      <c r="N18" s="104" t="s">
        <v>209</v>
      </c>
      <c r="O18" s="101" t="s">
        <v>241</v>
      </c>
      <c r="P18" s="128">
        <f>(MID(tDatos[[#This Row],[UTCO]],5,2)+RIGHT(tDatos[[#This Row],[UTCO]],2)/60)*IF(tDatos[[#This Row],[UTCO]]="","",IF(MID(tDatos[[#This Row],[UTCO]],4,1)="+",1,-1))</f>
        <v>-4</v>
      </c>
      <c r="Q18" s="160">
        <f>IFERROR(tDatos[[#This Row],[FECHA]]+tDatos[[#This Row],[HORA]]+(((CoefUTCD)-(tDatos[[#This Row],[CoefUTCO]]))/24),tDatos[[#This Row],[FECHA]]+tDatos[[#This Row],[HORA]])</f>
        <v>46189.625</v>
      </c>
      <c r="S18" s="168">
        <v>2036</v>
      </c>
      <c r="T18" s="168" t="s">
        <v>462</v>
      </c>
      <c r="U18" s="167" t="s">
        <v>430</v>
      </c>
      <c r="V18" s="167" t="s">
        <v>432</v>
      </c>
      <c r="W18" s="167" t="s">
        <v>435</v>
      </c>
      <c r="X18" s="167" t="s">
        <v>428</v>
      </c>
      <c r="Y18" s="167" t="s">
        <v>433</v>
      </c>
      <c r="Z18" s="167" t="s">
        <v>431</v>
      </c>
      <c r="AA18" s="167" t="s">
        <v>434</v>
      </c>
      <c r="AB18" s="169" t="s">
        <v>436</v>
      </c>
    </row>
    <row r="19" spans="1:28" ht="23.25" customHeight="1" x14ac:dyDescent="0.25">
      <c r="A19" s="186" t="s">
        <v>69</v>
      </c>
      <c r="D19" s="101" t="s">
        <v>249</v>
      </c>
      <c r="F19" s="101">
        <v>18</v>
      </c>
      <c r="G19" s="101" t="s">
        <v>177</v>
      </c>
      <c r="H19" s="102">
        <v>46189</v>
      </c>
      <c r="I19" s="103">
        <v>0.75</v>
      </c>
      <c r="J19" s="101" t="s">
        <v>284</v>
      </c>
      <c r="K19" s="101" t="s">
        <v>224</v>
      </c>
      <c r="L19" s="104" t="s">
        <v>115</v>
      </c>
      <c r="M19" s="104" t="s">
        <v>371</v>
      </c>
      <c r="N19" s="104" t="s">
        <v>212</v>
      </c>
      <c r="O19" s="101" t="s">
        <v>241</v>
      </c>
      <c r="P19" s="128">
        <f>(MID(tDatos[[#This Row],[UTCO]],5,2)+RIGHT(tDatos[[#This Row],[UTCO]],2)/60)*IF(tDatos[[#This Row],[UTCO]]="","",IF(MID(tDatos[[#This Row],[UTCO]],4,1)="+",1,-1))</f>
        <v>-4</v>
      </c>
      <c r="Q19" s="160">
        <f>IFERROR(tDatos[[#This Row],[FECHA]]+tDatos[[#This Row],[HORA]]+(((CoefUTCD)-(tDatos[[#This Row],[CoefUTCO]]))/24),tDatos[[#This Row],[FECHA]]+tDatos[[#This Row],[HORA]])</f>
        <v>46189.75</v>
      </c>
      <c r="S19" s="168">
        <v>4044</v>
      </c>
      <c r="T19" s="168" t="s">
        <v>463</v>
      </c>
      <c r="U19" s="167" t="s">
        <v>433</v>
      </c>
      <c r="V19" s="167" t="s">
        <v>432</v>
      </c>
      <c r="W19" s="167" t="s">
        <v>434</v>
      </c>
      <c r="X19" s="167" t="s">
        <v>428</v>
      </c>
      <c r="Y19" s="167" t="s">
        <v>435</v>
      </c>
      <c r="Z19" s="167" t="s">
        <v>429</v>
      </c>
      <c r="AA19" s="167" t="s">
        <v>437</v>
      </c>
      <c r="AB19" s="169" t="s">
        <v>436</v>
      </c>
    </row>
    <row r="20" spans="1:28" ht="23.25" customHeight="1" x14ac:dyDescent="0.25">
      <c r="A20" s="186" t="s">
        <v>220</v>
      </c>
      <c r="D20" s="101" t="s">
        <v>250</v>
      </c>
      <c r="F20" s="101">
        <v>19</v>
      </c>
      <c r="G20" s="101" t="s">
        <v>177</v>
      </c>
      <c r="H20" s="102">
        <v>46189</v>
      </c>
      <c r="I20" s="103">
        <v>0.875</v>
      </c>
      <c r="J20" s="101" t="s">
        <v>18</v>
      </c>
      <c r="K20" s="101" t="s">
        <v>225</v>
      </c>
      <c r="L20" s="104" t="s">
        <v>92</v>
      </c>
      <c r="M20" s="104" t="s">
        <v>382</v>
      </c>
      <c r="N20" s="104" t="s">
        <v>226</v>
      </c>
      <c r="O20" s="101" t="s">
        <v>241</v>
      </c>
      <c r="P20" s="128">
        <f>(MID(tDatos[[#This Row],[UTCO]],5,2)+RIGHT(tDatos[[#This Row],[UTCO]],2)/60)*IF(tDatos[[#This Row],[UTCO]]="","",IF(MID(tDatos[[#This Row],[UTCO]],4,1)="+",1,-1))</f>
        <v>-4</v>
      </c>
      <c r="Q20" s="160">
        <f>IFERROR(tDatos[[#This Row],[FECHA]]+tDatos[[#This Row],[HORA]]+(((CoefUTCD)-(tDatos[[#This Row],[CoefUTCO]]))/24),tDatos[[#This Row],[FECHA]]+tDatos[[#This Row],[HORA]])</f>
        <v>46189.875</v>
      </c>
      <c r="S20" s="168">
        <v>4012</v>
      </c>
      <c r="T20" s="168" t="s">
        <v>464</v>
      </c>
      <c r="U20" s="167" t="s">
        <v>428</v>
      </c>
      <c r="V20" s="167" t="s">
        <v>435</v>
      </c>
      <c r="W20" s="167" t="s">
        <v>434</v>
      </c>
      <c r="X20" s="167" t="s">
        <v>429</v>
      </c>
      <c r="Y20" s="167" t="s">
        <v>433</v>
      </c>
      <c r="Z20" s="167" t="s">
        <v>431</v>
      </c>
      <c r="AA20" s="167" t="s">
        <v>437</v>
      </c>
      <c r="AB20" s="169" t="s">
        <v>436</v>
      </c>
    </row>
    <row r="21" spans="1:28" ht="23.25" customHeight="1" x14ac:dyDescent="0.25">
      <c r="A21" s="186" t="s">
        <v>211</v>
      </c>
      <c r="D21" s="101" t="s">
        <v>251</v>
      </c>
      <c r="F21" s="101">
        <v>20</v>
      </c>
      <c r="G21" s="101" t="s">
        <v>420</v>
      </c>
      <c r="H21" s="102">
        <v>46190</v>
      </c>
      <c r="I21" s="103">
        <v>0</v>
      </c>
      <c r="J21" s="101" t="s">
        <v>227</v>
      </c>
      <c r="K21" s="101" t="s">
        <v>231</v>
      </c>
      <c r="L21" s="104" t="s">
        <v>92</v>
      </c>
      <c r="M21" s="104" t="s">
        <v>374</v>
      </c>
      <c r="N21" s="104" t="s">
        <v>268</v>
      </c>
      <c r="O21" s="101" t="s">
        <v>241</v>
      </c>
      <c r="P21" s="128">
        <f>(MID(tDatos[[#This Row],[UTCO]],5,2)+RIGHT(tDatos[[#This Row],[UTCO]],2)/60)*IF(tDatos[[#This Row],[UTCO]]="","",IF(MID(tDatos[[#This Row],[UTCO]],4,1)="+",1,-1))</f>
        <v>-4</v>
      </c>
      <c r="Q21" s="160">
        <f>IFERROR(tDatos[[#This Row],[FECHA]]+tDatos[[#This Row],[HORA]]+(((CoefUTCD)-(tDatos[[#This Row],[CoefUTCO]]))/24),tDatos[[#This Row],[FECHA]]+tDatos[[#This Row],[HORA]])</f>
        <v>46190</v>
      </c>
      <c r="S21" s="168">
        <v>3948</v>
      </c>
      <c r="T21" s="168" t="s">
        <v>465</v>
      </c>
      <c r="U21" s="167" t="s">
        <v>428</v>
      </c>
      <c r="V21" s="167" t="s">
        <v>432</v>
      </c>
      <c r="W21" s="167" t="s">
        <v>434</v>
      </c>
      <c r="X21" s="167" t="s">
        <v>429</v>
      </c>
      <c r="Y21" s="167" t="s">
        <v>435</v>
      </c>
      <c r="Z21" s="167" t="s">
        <v>431</v>
      </c>
      <c r="AA21" s="167" t="s">
        <v>437</v>
      </c>
      <c r="AB21" s="169" t="s">
        <v>436</v>
      </c>
    </row>
    <row r="22" spans="1:28" ht="23.25" customHeight="1" x14ac:dyDescent="0.25">
      <c r="A22" s="186" t="s">
        <v>13</v>
      </c>
      <c r="D22" s="101" t="s">
        <v>252</v>
      </c>
      <c r="F22" s="101">
        <v>21</v>
      </c>
      <c r="G22" s="101" t="s">
        <v>311</v>
      </c>
      <c r="H22" s="102">
        <v>46190</v>
      </c>
      <c r="I22" s="103">
        <v>0.54166666666666663</v>
      </c>
      <c r="J22" s="101" t="s">
        <v>20</v>
      </c>
      <c r="K22" s="101" t="s">
        <v>359</v>
      </c>
      <c r="L22" s="104" t="s">
        <v>96</v>
      </c>
      <c r="M22" s="104" t="s">
        <v>375</v>
      </c>
      <c r="N22" s="104" t="s">
        <v>214</v>
      </c>
      <c r="O22" s="101" t="s">
        <v>241</v>
      </c>
      <c r="P22" s="128">
        <f>(MID(tDatos[[#This Row],[UTCO]],5,2)+RIGHT(tDatos[[#This Row],[UTCO]],2)/60)*IF(tDatos[[#This Row],[UTCO]]="","",IF(MID(tDatos[[#This Row],[UTCO]],4,1)="+",1,-1))</f>
        <v>-4</v>
      </c>
      <c r="Q22" s="160">
        <f>IFERROR(tDatos[[#This Row],[FECHA]]+tDatos[[#This Row],[HORA]]+(((CoefUTCD)-(tDatos[[#This Row],[CoefUTCO]]))/24),tDatos[[#This Row],[FECHA]]+tDatos[[#This Row],[HORA]])</f>
        <v>46190.541666666664</v>
      </c>
      <c r="S22" s="168">
        <v>3820</v>
      </c>
      <c r="T22" s="168" t="s">
        <v>466</v>
      </c>
      <c r="U22" s="167" t="s">
        <v>428</v>
      </c>
      <c r="V22" s="167" t="s">
        <v>432</v>
      </c>
      <c r="W22" s="167" t="s">
        <v>435</v>
      </c>
      <c r="X22" s="167" t="s">
        <v>429</v>
      </c>
      <c r="Y22" s="167" t="s">
        <v>433</v>
      </c>
      <c r="Z22" s="167" t="s">
        <v>431</v>
      </c>
      <c r="AA22" s="167" t="s">
        <v>437</v>
      </c>
      <c r="AB22" s="169" t="s">
        <v>436</v>
      </c>
    </row>
    <row r="23" spans="1:28" ht="23.25" customHeight="1" x14ac:dyDescent="0.25">
      <c r="A23" s="186" t="s">
        <v>17</v>
      </c>
      <c r="D23" s="101" t="s">
        <v>253</v>
      </c>
      <c r="F23" s="101">
        <v>22</v>
      </c>
      <c r="G23" s="101" t="s">
        <v>311</v>
      </c>
      <c r="H23" s="102">
        <v>46190</v>
      </c>
      <c r="I23" s="103">
        <v>0.66666666666666663</v>
      </c>
      <c r="J23" s="101" t="s">
        <v>15</v>
      </c>
      <c r="K23" s="101" t="s">
        <v>11</v>
      </c>
      <c r="L23" s="104" t="s">
        <v>101</v>
      </c>
      <c r="M23" s="104" t="s">
        <v>376</v>
      </c>
      <c r="N23" s="104" t="s">
        <v>215</v>
      </c>
      <c r="O23" s="101" t="s">
        <v>241</v>
      </c>
      <c r="P23" s="128">
        <f>(MID(tDatos[[#This Row],[UTCO]],5,2)+RIGHT(tDatos[[#This Row],[UTCO]],2)/60)*IF(tDatos[[#This Row],[UTCO]]="","",IF(MID(tDatos[[#This Row],[UTCO]],4,1)="+",1,-1))</f>
        <v>-4</v>
      </c>
      <c r="Q23" s="160">
        <f>IFERROR(tDatos[[#This Row],[FECHA]]+tDatos[[#This Row],[HORA]]+(((CoefUTCD)-(tDatos[[#This Row],[CoefUTCO]]))/24),tDatos[[#This Row],[FECHA]]+tDatos[[#This Row],[HORA]])</f>
        <v>46190.666666666664</v>
      </c>
      <c r="S23" s="168">
        <v>3564</v>
      </c>
      <c r="T23" s="168" t="s">
        <v>467</v>
      </c>
      <c r="U23" s="167" t="s">
        <v>428</v>
      </c>
      <c r="V23" s="167" t="s">
        <v>432</v>
      </c>
      <c r="W23" s="167" t="s">
        <v>434</v>
      </c>
      <c r="X23" s="167" t="s">
        <v>429</v>
      </c>
      <c r="Y23" s="167" t="s">
        <v>433</v>
      </c>
      <c r="Z23" s="167" t="s">
        <v>431</v>
      </c>
      <c r="AA23" s="167" t="s">
        <v>437</v>
      </c>
      <c r="AB23" s="169" t="s">
        <v>436</v>
      </c>
    </row>
    <row r="24" spans="1:28" ht="23.25" customHeight="1" x14ac:dyDescent="0.25">
      <c r="A24" s="186" t="s">
        <v>68</v>
      </c>
      <c r="D24" s="101" t="s">
        <v>254</v>
      </c>
      <c r="F24" s="101">
        <v>23</v>
      </c>
      <c r="G24" s="101" t="s">
        <v>311</v>
      </c>
      <c r="H24" s="102">
        <v>46190</v>
      </c>
      <c r="I24" s="103">
        <v>0.79166666666666663</v>
      </c>
      <c r="J24" s="101" t="s">
        <v>68</v>
      </c>
      <c r="K24" s="101" t="s">
        <v>228</v>
      </c>
      <c r="L24" s="104" t="s">
        <v>101</v>
      </c>
      <c r="M24" s="104" t="s">
        <v>373</v>
      </c>
      <c r="N24" s="104" t="s">
        <v>207</v>
      </c>
      <c r="O24" s="101" t="s">
        <v>241</v>
      </c>
      <c r="P24" s="128">
        <f>(MID(tDatos[[#This Row],[UTCO]],5,2)+RIGHT(tDatos[[#This Row],[UTCO]],2)/60)*IF(tDatos[[#This Row],[UTCO]]="","",IF(MID(tDatos[[#This Row],[UTCO]],4,1)="+",1,-1))</f>
        <v>-4</v>
      </c>
      <c r="Q24" s="160">
        <f>IFERROR(tDatos[[#This Row],[FECHA]]+tDatos[[#This Row],[HORA]]+(((CoefUTCD)-(tDatos[[#This Row],[CoefUTCO]]))/24),tDatos[[#This Row],[FECHA]]+tDatos[[#This Row],[HORA]])</f>
        <v>46190.791666666664</v>
      </c>
      <c r="S24" s="168">
        <v>3052</v>
      </c>
      <c r="T24" s="168" t="s">
        <v>468</v>
      </c>
      <c r="U24" s="167" t="s">
        <v>428</v>
      </c>
      <c r="V24" s="167" t="s">
        <v>432</v>
      </c>
      <c r="W24" s="167" t="s">
        <v>435</v>
      </c>
      <c r="X24" s="167" t="s">
        <v>429</v>
      </c>
      <c r="Y24" s="167" t="s">
        <v>433</v>
      </c>
      <c r="Z24" s="167" t="s">
        <v>431</v>
      </c>
      <c r="AA24" s="167" t="s">
        <v>437</v>
      </c>
      <c r="AB24" s="169" t="s">
        <v>434</v>
      </c>
    </row>
    <row r="25" spans="1:28" ht="23.25" customHeight="1" x14ac:dyDescent="0.25">
      <c r="A25" s="186" t="s">
        <v>210</v>
      </c>
      <c r="D25" s="101" t="s">
        <v>255</v>
      </c>
      <c r="F25" s="101">
        <v>24</v>
      </c>
      <c r="G25" s="101" t="s">
        <v>311</v>
      </c>
      <c r="H25" s="102">
        <v>46190</v>
      </c>
      <c r="I25" s="103">
        <v>0.91666666666666663</v>
      </c>
      <c r="J25" s="101" t="s">
        <v>229</v>
      </c>
      <c r="K25" s="101" t="s">
        <v>230</v>
      </c>
      <c r="L25" s="104" t="s">
        <v>96</v>
      </c>
      <c r="M25" s="104" t="s">
        <v>366</v>
      </c>
      <c r="N25" s="104" t="s">
        <v>205</v>
      </c>
      <c r="O25" s="101" t="s">
        <v>241</v>
      </c>
      <c r="P25" s="128">
        <f>(MID(tDatos[[#This Row],[UTCO]],5,2)+RIGHT(tDatos[[#This Row],[UTCO]],2)/60)*IF(tDatos[[#This Row],[UTCO]]="","",IF(MID(tDatos[[#This Row],[UTCO]],4,1)="+",1,-1))</f>
        <v>-4</v>
      </c>
      <c r="Q25" s="160">
        <f>IFERROR(tDatos[[#This Row],[FECHA]]+tDatos[[#This Row],[HORA]]+(((CoefUTCD)-(tDatos[[#This Row],[CoefUTCO]]))/24),tDatos[[#This Row],[FECHA]]+tDatos[[#This Row],[HORA]])</f>
        <v>46190.916666666664</v>
      </c>
      <c r="S25" s="168">
        <v>2028</v>
      </c>
      <c r="T25" s="168" t="s">
        <v>469</v>
      </c>
      <c r="U25" s="167" t="s">
        <v>428</v>
      </c>
      <c r="V25" s="167" t="s">
        <v>432</v>
      </c>
      <c r="W25" s="167" t="s">
        <v>435</v>
      </c>
      <c r="X25" s="167" t="s">
        <v>429</v>
      </c>
      <c r="Y25" s="167" t="s">
        <v>433</v>
      </c>
      <c r="Z25" s="167" t="s">
        <v>431</v>
      </c>
      <c r="AA25" s="167" t="s">
        <v>434</v>
      </c>
      <c r="AB25" s="169" t="s">
        <v>436</v>
      </c>
    </row>
    <row r="26" spans="1:28" ht="23.25" customHeight="1" x14ac:dyDescent="0.25">
      <c r="A26" s="186" t="s">
        <v>15</v>
      </c>
      <c r="D26" s="101" t="s">
        <v>267</v>
      </c>
      <c r="F26" s="101">
        <v>25</v>
      </c>
      <c r="G26" s="101" t="s">
        <v>170</v>
      </c>
      <c r="H26" s="102">
        <v>46191</v>
      </c>
      <c r="I26" s="103">
        <v>0.5</v>
      </c>
      <c r="J26" s="101" t="s">
        <v>312</v>
      </c>
      <c r="K26" s="101" t="s">
        <v>193</v>
      </c>
      <c r="L26" s="104" t="s">
        <v>132</v>
      </c>
      <c r="M26" s="104" t="s">
        <v>379</v>
      </c>
      <c r="N26" s="104" t="s">
        <v>219</v>
      </c>
      <c r="O26" s="101" t="s">
        <v>241</v>
      </c>
      <c r="P26" s="128">
        <f>(MID(tDatos[[#This Row],[UTCO]],5,2)+RIGHT(tDatos[[#This Row],[UTCO]],2)/60)*IF(tDatos[[#This Row],[UTCO]]="","",IF(MID(tDatos[[#This Row],[UTCO]],4,1)="+",1,-1))</f>
        <v>-4</v>
      </c>
      <c r="Q26" s="160">
        <f>IFERROR(tDatos[[#This Row],[FECHA]]+tDatos[[#This Row],[HORA]]+(((CoefUTCD)-(tDatos[[#This Row],[CoefUTCO]]))/24),tDatos[[#This Row],[FECHA]]+tDatos[[#This Row],[HORA]])</f>
        <v>46191.5</v>
      </c>
      <c r="S26" s="168">
        <v>3996</v>
      </c>
      <c r="T26" s="168" t="s">
        <v>470</v>
      </c>
      <c r="U26" s="167" t="s">
        <v>430</v>
      </c>
      <c r="V26" s="167" t="s">
        <v>435</v>
      </c>
      <c r="W26" s="167" t="s">
        <v>434</v>
      </c>
      <c r="X26" s="167" t="s">
        <v>428</v>
      </c>
      <c r="Y26" s="167" t="s">
        <v>433</v>
      </c>
      <c r="Z26" s="167" t="s">
        <v>429</v>
      </c>
      <c r="AA26" s="167" t="s">
        <v>437</v>
      </c>
      <c r="AB26" s="169" t="s">
        <v>436</v>
      </c>
    </row>
    <row r="27" spans="1:28" ht="23.25" customHeight="1" x14ac:dyDescent="0.25">
      <c r="A27" s="186" t="s">
        <v>284</v>
      </c>
      <c r="D27" s="101" t="s">
        <v>257</v>
      </c>
      <c r="F27" s="101">
        <v>26</v>
      </c>
      <c r="G27" s="101" t="s">
        <v>170</v>
      </c>
      <c r="H27" s="102">
        <v>46191</v>
      </c>
      <c r="I27" s="103">
        <v>0.625</v>
      </c>
      <c r="J27" s="101" t="s">
        <v>16</v>
      </c>
      <c r="K27" s="101" t="s">
        <v>274</v>
      </c>
      <c r="L27" s="104" t="s">
        <v>140</v>
      </c>
      <c r="M27" s="104" t="s">
        <v>369</v>
      </c>
      <c r="N27" s="104" t="s">
        <v>383</v>
      </c>
      <c r="O27" s="101" t="s">
        <v>241</v>
      </c>
      <c r="P27" s="128">
        <f>(MID(tDatos[[#This Row],[UTCO]],5,2)+RIGHT(tDatos[[#This Row],[UTCO]],2)/60)*IF(tDatos[[#This Row],[UTCO]]="","",IF(MID(tDatos[[#This Row],[UTCO]],4,1)="+",1,-1))</f>
        <v>-4</v>
      </c>
      <c r="Q27" s="160">
        <f>IFERROR(tDatos[[#This Row],[FECHA]]+tDatos[[#This Row],[HORA]]+(((CoefUTCD)-(tDatos[[#This Row],[CoefUTCO]]))/24),tDatos[[#This Row],[FECHA]]+tDatos[[#This Row],[HORA]])</f>
        <v>46191.625</v>
      </c>
      <c r="S27" s="168">
        <v>3932</v>
      </c>
      <c r="T27" s="168" t="s">
        <v>471</v>
      </c>
      <c r="U27" s="167" t="s">
        <v>430</v>
      </c>
      <c r="V27" s="167" t="s">
        <v>432</v>
      </c>
      <c r="W27" s="167" t="s">
        <v>434</v>
      </c>
      <c r="X27" s="167" t="s">
        <v>428</v>
      </c>
      <c r="Y27" s="167" t="s">
        <v>435</v>
      </c>
      <c r="Z27" s="167" t="s">
        <v>429</v>
      </c>
      <c r="AA27" s="167" t="s">
        <v>437</v>
      </c>
      <c r="AB27" s="169" t="s">
        <v>436</v>
      </c>
    </row>
    <row r="28" spans="1:28" ht="23.25" customHeight="1" x14ac:dyDescent="0.25">
      <c r="A28" s="186" t="s">
        <v>30</v>
      </c>
      <c r="D28" s="101" t="s">
        <v>258</v>
      </c>
      <c r="F28" s="101">
        <v>27</v>
      </c>
      <c r="G28" s="101" t="s">
        <v>170</v>
      </c>
      <c r="H28" s="102">
        <v>46191</v>
      </c>
      <c r="I28" s="103">
        <v>0.75</v>
      </c>
      <c r="J28" s="101" t="s">
        <v>67</v>
      </c>
      <c r="K28" s="101" t="s">
        <v>64</v>
      </c>
      <c r="L28" s="104" t="s">
        <v>140</v>
      </c>
      <c r="M28" s="104" t="s">
        <v>372</v>
      </c>
      <c r="N28" s="104" t="s">
        <v>269</v>
      </c>
      <c r="O28" s="101" t="s">
        <v>241</v>
      </c>
      <c r="P28" s="128">
        <f>(MID(tDatos[[#This Row],[UTCO]],5,2)+RIGHT(tDatos[[#This Row],[UTCO]],2)/60)*IF(tDatos[[#This Row],[UTCO]]="","",IF(MID(tDatos[[#This Row],[UTCO]],4,1)="+",1,-1))</f>
        <v>-4</v>
      </c>
      <c r="Q28" s="160">
        <f>IFERROR(tDatos[[#This Row],[FECHA]]+tDatos[[#This Row],[HORA]]+(((CoefUTCD)-(tDatos[[#This Row],[CoefUTCO]]))/24),tDatos[[#This Row],[FECHA]]+tDatos[[#This Row],[HORA]])</f>
        <v>46191.75</v>
      </c>
      <c r="S28" s="168">
        <v>3804</v>
      </c>
      <c r="T28" s="168" t="s">
        <v>472</v>
      </c>
      <c r="U28" s="167" t="s">
        <v>430</v>
      </c>
      <c r="V28" s="167" t="s">
        <v>432</v>
      </c>
      <c r="W28" s="167" t="s">
        <v>435</v>
      </c>
      <c r="X28" s="167" t="s">
        <v>428</v>
      </c>
      <c r="Y28" s="167" t="s">
        <v>433</v>
      </c>
      <c r="Z28" s="167" t="s">
        <v>429</v>
      </c>
      <c r="AA28" s="167" t="s">
        <v>437</v>
      </c>
      <c r="AB28" s="169" t="s">
        <v>436</v>
      </c>
    </row>
    <row r="29" spans="1:28" ht="23.25" customHeight="1" x14ac:dyDescent="0.25">
      <c r="A29" s="186" t="s">
        <v>34</v>
      </c>
      <c r="D29" s="101" t="s">
        <v>259</v>
      </c>
      <c r="F29" s="101">
        <v>28</v>
      </c>
      <c r="G29" s="101" t="s">
        <v>170</v>
      </c>
      <c r="H29" s="102">
        <v>46191</v>
      </c>
      <c r="I29" s="103">
        <v>0.875</v>
      </c>
      <c r="J29" s="101" t="s">
        <v>31</v>
      </c>
      <c r="K29" s="101" t="s">
        <v>360</v>
      </c>
      <c r="L29" s="104" t="s">
        <v>132</v>
      </c>
      <c r="M29" s="104" t="s">
        <v>367</v>
      </c>
      <c r="N29" s="104" t="s">
        <v>206</v>
      </c>
      <c r="O29" s="101" t="s">
        <v>241</v>
      </c>
      <c r="P29" s="128">
        <f>(MID(tDatos[[#This Row],[UTCO]],5,2)+RIGHT(tDatos[[#This Row],[UTCO]],2)/60)*IF(tDatos[[#This Row],[UTCO]]="","",IF(MID(tDatos[[#This Row],[UTCO]],4,1)="+",1,-1))</f>
        <v>-4</v>
      </c>
      <c r="Q29" s="160">
        <f>IFERROR(tDatos[[#This Row],[FECHA]]+tDatos[[#This Row],[HORA]]+(((CoefUTCD)-(tDatos[[#This Row],[CoefUTCO]]))/24),tDatos[[#This Row],[FECHA]]+tDatos[[#This Row],[HORA]])</f>
        <v>46191.875</v>
      </c>
      <c r="S29" s="168">
        <v>3548</v>
      </c>
      <c r="T29" s="168" t="s">
        <v>473</v>
      </c>
      <c r="U29" s="167" t="s">
        <v>430</v>
      </c>
      <c r="V29" s="167" t="s">
        <v>432</v>
      </c>
      <c r="W29" s="167" t="s">
        <v>434</v>
      </c>
      <c r="X29" s="167" t="s">
        <v>428</v>
      </c>
      <c r="Y29" s="167" t="s">
        <v>433</v>
      </c>
      <c r="Z29" s="167" t="s">
        <v>429</v>
      </c>
      <c r="AA29" s="167" t="s">
        <v>437</v>
      </c>
      <c r="AB29" s="169" t="s">
        <v>436</v>
      </c>
    </row>
    <row r="30" spans="1:28" ht="23.25" customHeight="1" x14ac:dyDescent="0.25">
      <c r="A30" s="186" t="s">
        <v>231</v>
      </c>
      <c r="D30" s="101" t="s">
        <v>260</v>
      </c>
      <c r="F30" s="101">
        <v>29</v>
      </c>
      <c r="G30" s="101" t="s">
        <v>166</v>
      </c>
      <c r="H30" s="102">
        <v>46192</v>
      </c>
      <c r="I30" s="103">
        <v>0.625</v>
      </c>
      <c r="J30" s="101" t="s">
        <v>69</v>
      </c>
      <c r="K30" s="101" t="s">
        <v>12</v>
      </c>
      <c r="L30" s="104" t="s">
        <v>121</v>
      </c>
      <c r="M30" s="104" t="s">
        <v>380</v>
      </c>
      <c r="N30" s="104" t="s">
        <v>221</v>
      </c>
      <c r="O30" s="101" t="s">
        <v>241</v>
      </c>
      <c r="P30" s="128">
        <f>(MID(tDatos[[#This Row],[UTCO]],5,2)+RIGHT(tDatos[[#This Row],[UTCO]],2)/60)*IF(tDatos[[#This Row],[UTCO]]="","",IF(MID(tDatos[[#This Row],[UTCO]],4,1)="+",1,-1))</f>
        <v>-4</v>
      </c>
      <c r="Q30" s="160">
        <f>IFERROR(tDatos[[#This Row],[FECHA]]+tDatos[[#This Row],[HORA]]+(((CoefUTCD)-(tDatos[[#This Row],[CoefUTCO]]))/24),tDatos[[#This Row],[FECHA]]+tDatos[[#This Row],[HORA]])</f>
        <v>46192.625</v>
      </c>
      <c r="S30" s="168">
        <v>3036</v>
      </c>
      <c r="T30" s="168" t="s">
        <v>474</v>
      </c>
      <c r="U30" s="167" t="s">
        <v>430</v>
      </c>
      <c r="V30" s="167" t="s">
        <v>432</v>
      </c>
      <c r="W30" s="167" t="s">
        <v>435</v>
      </c>
      <c r="X30" s="167" t="s">
        <v>428</v>
      </c>
      <c r="Y30" s="167" t="s">
        <v>433</v>
      </c>
      <c r="Z30" s="167" t="s">
        <v>429</v>
      </c>
      <c r="AA30" s="167" t="s">
        <v>437</v>
      </c>
      <c r="AB30" s="169" t="s">
        <v>434</v>
      </c>
    </row>
    <row r="31" spans="1:28" ht="23.25" customHeight="1" x14ac:dyDescent="0.25">
      <c r="A31" s="186" t="s">
        <v>29</v>
      </c>
      <c r="D31" s="101" t="s">
        <v>261</v>
      </c>
      <c r="F31" s="101">
        <v>30</v>
      </c>
      <c r="G31" s="101" t="s">
        <v>166</v>
      </c>
      <c r="H31" s="102">
        <v>46192</v>
      </c>
      <c r="I31" s="103">
        <v>0.75</v>
      </c>
      <c r="J31" s="101" t="s">
        <v>211</v>
      </c>
      <c r="K31" s="101" t="s">
        <v>29</v>
      </c>
      <c r="L31" s="104" t="s">
        <v>136</v>
      </c>
      <c r="M31" s="104" t="s">
        <v>371</v>
      </c>
      <c r="N31" s="104" t="s">
        <v>212</v>
      </c>
      <c r="O31" s="101" t="s">
        <v>241</v>
      </c>
      <c r="P31" s="128">
        <f>(MID(tDatos[[#This Row],[UTCO]],5,2)+RIGHT(tDatos[[#This Row],[UTCO]],2)/60)*IF(tDatos[[#This Row],[UTCO]]="","",IF(MID(tDatos[[#This Row],[UTCO]],4,1)="+",1,-1))</f>
        <v>-4</v>
      </c>
      <c r="Q31" s="160">
        <f>IFERROR(tDatos[[#This Row],[FECHA]]+tDatos[[#This Row],[HORA]]+(((CoefUTCD)-(tDatos[[#This Row],[CoefUTCO]]))/24),tDatos[[#This Row],[FECHA]]+tDatos[[#This Row],[HORA]])</f>
        <v>46192.75</v>
      </c>
      <c r="S31" s="168">
        <v>2012</v>
      </c>
      <c r="T31" s="168" t="s">
        <v>475</v>
      </c>
      <c r="U31" s="167" t="s">
        <v>430</v>
      </c>
      <c r="V31" s="167" t="s">
        <v>432</v>
      </c>
      <c r="W31" s="167" t="s">
        <v>435</v>
      </c>
      <c r="X31" s="167" t="s">
        <v>428</v>
      </c>
      <c r="Y31" s="167" t="s">
        <v>433</v>
      </c>
      <c r="Z31" s="167" t="s">
        <v>429</v>
      </c>
      <c r="AA31" s="167" t="s">
        <v>434</v>
      </c>
      <c r="AB31" s="169" t="s">
        <v>436</v>
      </c>
    </row>
    <row r="32" spans="1:28" ht="23.25" customHeight="1" x14ac:dyDescent="0.25">
      <c r="A32" s="186" t="s">
        <v>31</v>
      </c>
      <c r="D32" s="101" t="s">
        <v>262</v>
      </c>
      <c r="F32" s="101">
        <v>31</v>
      </c>
      <c r="G32" s="101" t="s">
        <v>166</v>
      </c>
      <c r="H32" s="102">
        <v>46192</v>
      </c>
      <c r="I32" s="103">
        <v>0.85416666666666663</v>
      </c>
      <c r="J32" s="101" t="s">
        <v>10</v>
      </c>
      <c r="K32" s="101" t="s">
        <v>210</v>
      </c>
      <c r="L32" s="104" t="s">
        <v>136</v>
      </c>
      <c r="M32" s="104" t="s">
        <v>377</v>
      </c>
      <c r="N32" s="104" t="s">
        <v>216</v>
      </c>
      <c r="O32" s="101" t="s">
        <v>241</v>
      </c>
      <c r="P32" s="128">
        <f>(MID(tDatos[[#This Row],[UTCO]],5,2)+RIGHT(tDatos[[#This Row],[UTCO]],2)/60)*IF(tDatos[[#This Row],[UTCO]]="","",IF(MID(tDatos[[#This Row],[UTCO]],4,1)="+",1,-1))</f>
        <v>-4</v>
      </c>
      <c r="Q32" s="160">
        <f>IFERROR(tDatos[[#This Row],[FECHA]]+tDatos[[#This Row],[HORA]]+(((CoefUTCD)-(tDatos[[#This Row],[CoefUTCO]]))/24),tDatos[[#This Row],[FECHA]]+tDatos[[#This Row],[HORA]])</f>
        <v>46192.854166666664</v>
      </c>
      <c r="S32" s="168">
        <v>3900</v>
      </c>
      <c r="T32" s="168" t="s">
        <v>476</v>
      </c>
      <c r="U32" s="167" t="s">
        <v>428</v>
      </c>
      <c r="V32" s="167" t="s">
        <v>435</v>
      </c>
      <c r="W32" s="167" t="s">
        <v>430</v>
      </c>
      <c r="X32" s="167" t="s">
        <v>429</v>
      </c>
      <c r="Y32" s="167" t="s">
        <v>434</v>
      </c>
      <c r="Z32" s="167" t="s">
        <v>431</v>
      </c>
      <c r="AA32" s="167" t="s">
        <v>437</v>
      </c>
      <c r="AB32" s="169" t="s">
        <v>436</v>
      </c>
    </row>
    <row r="33" spans="1:28" ht="23.25" customHeight="1" x14ac:dyDescent="0.25">
      <c r="A33" s="186" t="s">
        <v>224</v>
      </c>
      <c r="D33" s="101" t="s">
        <v>263</v>
      </c>
      <c r="F33" s="101">
        <v>32</v>
      </c>
      <c r="G33" s="101" t="s">
        <v>166</v>
      </c>
      <c r="H33" s="102">
        <v>46192</v>
      </c>
      <c r="I33" s="103">
        <v>0.95833333333333337</v>
      </c>
      <c r="J33" s="101" t="s">
        <v>275</v>
      </c>
      <c r="K33" s="101" t="s">
        <v>208</v>
      </c>
      <c r="L33" s="104" t="s">
        <v>121</v>
      </c>
      <c r="M33" s="104" t="s">
        <v>374</v>
      </c>
      <c r="N33" s="104" t="s">
        <v>268</v>
      </c>
      <c r="O33" s="101" t="s">
        <v>241</v>
      </c>
      <c r="P33" s="128">
        <f>(MID(tDatos[[#This Row],[UTCO]],5,2)+RIGHT(tDatos[[#This Row],[UTCO]],2)/60)*IF(tDatos[[#This Row],[UTCO]]="","",IF(MID(tDatos[[#This Row],[UTCO]],4,1)="+",1,-1))</f>
        <v>-4</v>
      </c>
      <c r="Q33" s="160">
        <f>IFERROR(tDatos[[#This Row],[FECHA]]+tDatos[[#This Row],[HORA]]+(((CoefUTCD)-(tDatos[[#This Row],[CoefUTCO]]))/24),tDatos[[#This Row],[FECHA]]+tDatos[[#This Row],[HORA]])</f>
        <v>46192.958333333336</v>
      </c>
      <c r="S33" s="168">
        <v>3772</v>
      </c>
      <c r="T33" s="168" t="s">
        <v>477</v>
      </c>
      <c r="U33" s="167" t="s">
        <v>428</v>
      </c>
      <c r="V33" s="167" t="s">
        <v>435</v>
      </c>
      <c r="W33" s="167" t="s">
        <v>430</v>
      </c>
      <c r="X33" s="167" t="s">
        <v>429</v>
      </c>
      <c r="Y33" s="167" t="s">
        <v>433</v>
      </c>
      <c r="Z33" s="167" t="s">
        <v>431</v>
      </c>
      <c r="AA33" s="167" t="s">
        <v>437</v>
      </c>
      <c r="AB33" s="169" t="s">
        <v>436</v>
      </c>
    </row>
    <row r="34" spans="1:28" ht="23.25" customHeight="1" x14ac:dyDescent="0.25">
      <c r="A34" s="186" t="s">
        <v>223</v>
      </c>
      <c r="D34" s="101" t="s">
        <v>264</v>
      </c>
      <c r="F34" s="101">
        <v>33</v>
      </c>
      <c r="G34" s="101" t="s">
        <v>163</v>
      </c>
      <c r="H34" s="102">
        <v>46193</v>
      </c>
      <c r="I34" s="103">
        <v>0.54166666666666663</v>
      </c>
      <c r="J34" s="101" t="s">
        <v>66</v>
      </c>
      <c r="K34" s="101" t="s">
        <v>276</v>
      </c>
      <c r="L34" s="104" t="s">
        <v>124</v>
      </c>
      <c r="M34" s="104" t="s">
        <v>375</v>
      </c>
      <c r="N34" s="104" t="s">
        <v>214</v>
      </c>
      <c r="O34" s="101" t="s">
        <v>241</v>
      </c>
      <c r="P34" s="128">
        <f>(MID(tDatos[[#This Row],[UTCO]],5,2)+RIGHT(tDatos[[#This Row],[UTCO]],2)/60)*IF(tDatos[[#This Row],[UTCO]]="","",IF(MID(tDatos[[#This Row],[UTCO]],4,1)="+",1,-1))</f>
        <v>-4</v>
      </c>
      <c r="Q34" s="160">
        <f>IFERROR(tDatos[[#This Row],[FECHA]]+tDatos[[#This Row],[HORA]]+(((CoefUTCD)-(tDatos[[#This Row],[CoefUTCO]]))/24),tDatos[[#This Row],[FECHA]]+tDatos[[#This Row],[HORA]])</f>
        <v>46193.541666666664</v>
      </c>
      <c r="S34" s="168">
        <v>3516</v>
      </c>
      <c r="T34" s="168" t="s">
        <v>478</v>
      </c>
      <c r="U34" s="167" t="s">
        <v>428</v>
      </c>
      <c r="V34" s="167" t="s">
        <v>430</v>
      </c>
      <c r="W34" s="167" t="s">
        <v>434</v>
      </c>
      <c r="X34" s="167" t="s">
        <v>429</v>
      </c>
      <c r="Y34" s="167" t="s">
        <v>433</v>
      </c>
      <c r="Z34" s="167" t="s">
        <v>431</v>
      </c>
      <c r="AA34" s="167" t="s">
        <v>437</v>
      </c>
      <c r="AB34" s="169" t="s">
        <v>436</v>
      </c>
    </row>
    <row r="35" spans="1:28" ht="23.25" customHeight="1" x14ac:dyDescent="0.25">
      <c r="A35" s="186" t="s">
        <v>66</v>
      </c>
      <c r="D35" s="101" t="s">
        <v>265</v>
      </c>
      <c r="F35" s="101">
        <v>34</v>
      </c>
      <c r="G35" s="101" t="s">
        <v>163</v>
      </c>
      <c r="H35" s="102">
        <v>46193</v>
      </c>
      <c r="I35" s="103">
        <v>0.66666666666666663</v>
      </c>
      <c r="J35" s="101" t="s">
        <v>19</v>
      </c>
      <c r="K35" s="101" t="s">
        <v>194</v>
      </c>
      <c r="L35" s="104" t="s">
        <v>128</v>
      </c>
      <c r="M35" s="104" t="s">
        <v>373</v>
      </c>
      <c r="N35" s="104" t="s">
        <v>207</v>
      </c>
      <c r="O35" s="101" t="s">
        <v>241</v>
      </c>
      <c r="P35" s="128">
        <f>(MID(tDatos[[#This Row],[UTCO]],5,2)+RIGHT(tDatos[[#This Row],[UTCO]],2)/60)*IF(tDatos[[#This Row],[UTCO]]="","",IF(MID(tDatos[[#This Row],[UTCO]],4,1)="+",1,-1))</f>
        <v>-4</v>
      </c>
      <c r="Q35" s="160">
        <f>IFERROR(tDatos[[#This Row],[FECHA]]+tDatos[[#This Row],[HORA]]+(((CoefUTCD)-(tDatos[[#This Row],[CoefUTCO]]))/24),tDatos[[#This Row],[FECHA]]+tDatos[[#This Row],[HORA]])</f>
        <v>46193.666666666664</v>
      </c>
      <c r="S35" s="168">
        <v>3004</v>
      </c>
      <c r="T35" s="168" t="s">
        <v>479</v>
      </c>
      <c r="U35" s="167" t="s">
        <v>428</v>
      </c>
      <c r="V35" s="167" t="s">
        <v>435</v>
      </c>
      <c r="W35" s="167" t="s">
        <v>430</v>
      </c>
      <c r="X35" s="167" t="s">
        <v>429</v>
      </c>
      <c r="Y35" s="167" t="s">
        <v>433</v>
      </c>
      <c r="Z35" s="167" t="s">
        <v>431</v>
      </c>
      <c r="AA35" s="167" t="s">
        <v>437</v>
      </c>
      <c r="AB35" s="169" t="s">
        <v>434</v>
      </c>
    </row>
    <row r="36" spans="1:28" ht="23.25" customHeight="1" x14ac:dyDescent="0.25">
      <c r="A36" s="186" t="s">
        <v>228</v>
      </c>
      <c r="D36" s="101" t="s">
        <v>266</v>
      </c>
      <c r="F36" s="101">
        <v>35</v>
      </c>
      <c r="G36" s="101" t="s">
        <v>163</v>
      </c>
      <c r="H36" s="102">
        <v>46193</v>
      </c>
      <c r="I36" s="103">
        <v>0.83333333333333337</v>
      </c>
      <c r="J36" s="101" t="s">
        <v>65</v>
      </c>
      <c r="K36" s="101" t="s">
        <v>213</v>
      </c>
      <c r="L36" s="104" t="s">
        <v>128</v>
      </c>
      <c r="M36" s="104" t="s">
        <v>382</v>
      </c>
      <c r="N36" s="104" t="s">
        <v>226</v>
      </c>
      <c r="O36" s="101" t="s">
        <v>241</v>
      </c>
      <c r="P36" s="128">
        <f>(MID(tDatos[[#This Row],[UTCO]],5,2)+RIGHT(tDatos[[#This Row],[UTCO]],2)/60)*IF(tDatos[[#This Row],[UTCO]]="","",IF(MID(tDatos[[#This Row],[UTCO]],4,1)="+",1,-1))</f>
        <v>-4</v>
      </c>
      <c r="Q36" s="160">
        <f>IFERROR(tDatos[[#This Row],[FECHA]]+tDatos[[#This Row],[HORA]]+(((CoefUTCD)-(tDatos[[#This Row],[CoefUTCO]]))/24),tDatos[[#This Row],[FECHA]]+tDatos[[#This Row],[HORA]])</f>
        <v>46193.833333333336</v>
      </c>
      <c r="S36" s="168">
        <v>1980</v>
      </c>
      <c r="T36" s="168" t="s">
        <v>480</v>
      </c>
      <c r="U36" s="167" t="s">
        <v>428</v>
      </c>
      <c r="V36" s="167" t="s">
        <v>435</v>
      </c>
      <c r="W36" s="167" t="s">
        <v>430</v>
      </c>
      <c r="X36" s="167" t="s">
        <v>429</v>
      </c>
      <c r="Y36" s="167" t="s">
        <v>433</v>
      </c>
      <c r="Z36" s="167" t="s">
        <v>431</v>
      </c>
      <c r="AA36" s="167" t="s">
        <v>434</v>
      </c>
      <c r="AB36" s="169" t="s">
        <v>436</v>
      </c>
    </row>
    <row r="37" spans="1:28" ht="23.25" customHeight="1" x14ac:dyDescent="0.25">
      <c r="A37" s="186" t="s">
        <v>208</v>
      </c>
      <c r="F37" s="101">
        <v>36</v>
      </c>
      <c r="G37" s="101" t="s">
        <v>421</v>
      </c>
      <c r="H37" s="102">
        <v>46194</v>
      </c>
      <c r="I37" s="103">
        <v>0</v>
      </c>
      <c r="J37" s="101" t="s">
        <v>33</v>
      </c>
      <c r="K37" s="101" t="s">
        <v>34</v>
      </c>
      <c r="L37" s="104" t="s">
        <v>124</v>
      </c>
      <c r="M37" s="104" t="s">
        <v>378</v>
      </c>
      <c r="N37" s="104" t="s">
        <v>217</v>
      </c>
      <c r="O37" s="101" t="s">
        <v>241</v>
      </c>
      <c r="P37" s="128">
        <f>(MID(tDatos[[#This Row],[UTCO]],5,2)+RIGHT(tDatos[[#This Row],[UTCO]],2)/60)*IF(tDatos[[#This Row],[UTCO]]="","",IF(MID(tDatos[[#This Row],[UTCO]],4,1)="+",1,-1))</f>
        <v>-4</v>
      </c>
      <c r="Q37" s="160">
        <f>IFERROR(tDatos[[#This Row],[FECHA]]+tDatos[[#This Row],[HORA]]+(((CoefUTCD)-(tDatos[[#This Row],[CoefUTCO]]))/24),tDatos[[#This Row],[FECHA]]+tDatos[[#This Row],[HORA]])</f>
        <v>46194</v>
      </c>
      <c r="S37" s="168">
        <v>3708</v>
      </c>
      <c r="T37" s="168" t="s">
        <v>481</v>
      </c>
      <c r="U37" s="167" t="s">
        <v>428</v>
      </c>
      <c r="V37" s="167" t="s">
        <v>432</v>
      </c>
      <c r="W37" s="167" t="s">
        <v>430</v>
      </c>
      <c r="X37" s="167" t="s">
        <v>429</v>
      </c>
      <c r="Y37" s="167" t="s">
        <v>435</v>
      </c>
      <c r="Z37" s="167" t="s">
        <v>431</v>
      </c>
      <c r="AA37" s="167" t="s">
        <v>437</v>
      </c>
      <c r="AB37" s="169" t="s">
        <v>436</v>
      </c>
    </row>
    <row r="38" spans="1:28" ht="23.25" customHeight="1" x14ac:dyDescent="0.25">
      <c r="A38" s="186" t="s">
        <v>20</v>
      </c>
      <c r="F38" s="101">
        <v>37</v>
      </c>
      <c r="G38" s="101" t="s">
        <v>158</v>
      </c>
      <c r="H38" s="102">
        <v>46194</v>
      </c>
      <c r="I38" s="103">
        <v>0.5</v>
      </c>
      <c r="J38" s="101" t="s">
        <v>13</v>
      </c>
      <c r="K38" s="101" t="s">
        <v>358</v>
      </c>
      <c r="L38" s="104" t="s">
        <v>112</v>
      </c>
      <c r="M38" s="104" t="s">
        <v>379</v>
      </c>
      <c r="N38" s="104" t="s">
        <v>219</v>
      </c>
      <c r="O38" s="101" t="s">
        <v>241</v>
      </c>
      <c r="P38" s="128">
        <f>(MID(tDatos[[#This Row],[UTCO]],5,2)+RIGHT(tDatos[[#This Row],[UTCO]],2)/60)*IF(tDatos[[#This Row],[UTCO]]="","",IF(MID(tDatos[[#This Row],[UTCO]],4,1)="+",1,-1))</f>
        <v>-4</v>
      </c>
      <c r="Q38" s="160">
        <f>IFERROR(tDatos[[#This Row],[FECHA]]+tDatos[[#This Row],[HORA]]+(((CoefUTCD)-(tDatos[[#This Row],[CoefUTCO]]))/24),tDatos[[#This Row],[FECHA]]+tDatos[[#This Row],[HORA]])</f>
        <v>46194.5</v>
      </c>
      <c r="S38" s="168">
        <v>3452</v>
      </c>
      <c r="T38" s="168" t="s">
        <v>482</v>
      </c>
      <c r="U38" s="167" t="s">
        <v>428</v>
      </c>
      <c r="V38" s="167" t="s">
        <v>432</v>
      </c>
      <c r="W38" s="167" t="s">
        <v>430</v>
      </c>
      <c r="X38" s="167" t="s">
        <v>429</v>
      </c>
      <c r="Y38" s="167" t="s">
        <v>434</v>
      </c>
      <c r="Z38" s="167" t="s">
        <v>431</v>
      </c>
      <c r="AA38" s="167" t="s">
        <v>437</v>
      </c>
      <c r="AB38" s="169" t="s">
        <v>436</v>
      </c>
    </row>
    <row r="39" spans="1:28" ht="23.25" customHeight="1" x14ac:dyDescent="0.25">
      <c r="A39" s="186" t="s">
        <v>312</v>
      </c>
      <c r="F39" s="101">
        <v>38</v>
      </c>
      <c r="G39" s="101" t="s">
        <v>158</v>
      </c>
      <c r="H39" s="102">
        <v>46194</v>
      </c>
      <c r="I39" s="103">
        <v>0.625</v>
      </c>
      <c r="J39" s="101" t="s">
        <v>32</v>
      </c>
      <c r="K39" s="101" t="s">
        <v>30</v>
      </c>
      <c r="L39" s="104" t="s">
        <v>106</v>
      </c>
      <c r="M39" s="104" t="s">
        <v>369</v>
      </c>
      <c r="N39" s="104" t="s">
        <v>383</v>
      </c>
      <c r="O39" s="101" t="s">
        <v>241</v>
      </c>
      <c r="P39" s="128">
        <f>(MID(tDatos[[#This Row],[UTCO]],5,2)+RIGHT(tDatos[[#This Row],[UTCO]],2)/60)*IF(tDatos[[#This Row],[UTCO]]="","",IF(MID(tDatos[[#This Row],[UTCO]],4,1)="+",1,-1))</f>
        <v>-4</v>
      </c>
      <c r="Q39" s="160">
        <f>IFERROR(tDatos[[#This Row],[FECHA]]+tDatos[[#This Row],[HORA]]+(((CoefUTCD)-(tDatos[[#This Row],[CoefUTCO]]))/24),tDatos[[#This Row],[FECHA]]+tDatos[[#This Row],[HORA]])</f>
        <v>46194.625</v>
      </c>
      <c r="S39" s="168">
        <v>2940</v>
      </c>
      <c r="T39" s="168" t="s">
        <v>483</v>
      </c>
      <c r="U39" s="167" t="s">
        <v>428</v>
      </c>
      <c r="V39" s="167" t="s">
        <v>432</v>
      </c>
      <c r="W39" s="167" t="s">
        <v>430</v>
      </c>
      <c r="X39" s="167" t="s">
        <v>429</v>
      </c>
      <c r="Y39" s="167" t="s">
        <v>435</v>
      </c>
      <c r="Z39" s="167" t="s">
        <v>431</v>
      </c>
      <c r="AA39" s="167" t="s">
        <v>437</v>
      </c>
      <c r="AB39" s="169" t="s">
        <v>434</v>
      </c>
    </row>
    <row r="40" spans="1:28" ht="23.25" customHeight="1" x14ac:dyDescent="0.25">
      <c r="A40" s="186" t="s">
        <v>359</v>
      </c>
      <c r="F40" s="101">
        <v>39</v>
      </c>
      <c r="G40" s="101" t="s">
        <v>158</v>
      </c>
      <c r="H40" s="102">
        <v>46194</v>
      </c>
      <c r="I40" s="103">
        <v>0.75</v>
      </c>
      <c r="J40" s="101" t="s">
        <v>14</v>
      </c>
      <c r="K40" s="101" t="s">
        <v>218</v>
      </c>
      <c r="L40" s="104" t="s">
        <v>112</v>
      </c>
      <c r="M40" s="104" t="s">
        <v>381</v>
      </c>
      <c r="N40" s="104" t="s">
        <v>222</v>
      </c>
      <c r="O40" s="101" t="s">
        <v>241</v>
      </c>
      <c r="P40" s="128">
        <f>(MID(tDatos[[#This Row],[UTCO]],5,2)+RIGHT(tDatos[[#This Row],[UTCO]],2)/60)*IF(tDatos[[#This Row],[UTCO]]="","",IF(MID(tDatos[[#This Row],[UTCO]],4,1)="+",1,-1))</f>
        <v>-4</v>
      </c>
      <c r="Q40" s="160">
        <f>IFERROR(tDatos[[#This Row],[FECHA]]+tDatos[[#This Row],[HORA]]+(((CoefUTCD)-(tDatos[[#This Row],[CoefUTCO]]))/24),tDatos[[#This Row],[FECHA]]+tDatos[[#This Row],[HORA]])</f>
        <v>46194.75</v>
      </c>
      <c r="S40" s="168">
        <v>1916</v>
      </c>
      <c r="T40" s="168" t="s">
        <v>484</v>
      </c>
      <c r="U40" s="167" t="s">
        <v>428</v>
      </c>
      <c r="V40" s="167" t="s">
        <v>432</v>
      </c>
      <c r="W40" s="167" t="s">
        <v>430</v>
      </c>
      <c r="X40" s="167" t="s">
        <v>429</v>
      </c>
      <c r="Y40" s="167" t="s">
        <v>435</v>
      </c>
      <c r="Z40" s="167" t="s">
        <v>431</v>
      </c>
      <c r="AA40" s="167" t="s">
        <v>434</v>
      </c>
      <c r="AB40" s="169" t="s">
        <v>436</v>
      </c>
    </row>
    <row r="41" spans="1:28" ht="23.25" customHeight="1" x14ac:dyDescent="0.25">
      <c r="A41" s="186" t="s">
        <v>35</v>
      </c>
      <c r="F41" s="101">
        <v>40</v>
      </c>
      <c r="G41" s="101" t="s">
        <v>158</v>
      </c>
      <c r="H41" s="102">
        <v>46194</v>
      </c>
      <c r="I41" s="103">
        <v>0.875</v>
      </c>
      <c r="J41" s="101" t="s">
        <v>223</v>
      </c>
      <c r="K41" s="101" t="s">
        <v>220</v>
      </c>
      <c r="L41" s="104" t="s">
        <v>106</v>
      </c>
      <c r="M41" s="104" t="s">
        <v>372</v>
      </c>
      <c r="N41" s="104" t="s">
        <v>269</v>
      </c>
      <c r="O41" s="101" t="s">
        <v>241</v>
      </c>
      <c r="P41" s="128">
        <f>(MID(tDatos[[#This Row],[UTCO]],5,2)+RIGHT(tDatos[[#This Row],[UTCO]],2)/60)*IF(tDatos[[#This Row],[UTCO]]="","",IF(MID(tDatos[[#This Row],[UTCO]],4,1)="+",1,-1))</f>
        <v>-4</v>
      </c>
      <c r="Q41" s="160">
        <f>IFERROR(tDatos[[#This Row],[FECHA]]+tDatos[[#This Row],[HORA]]+(((CoefUTCD)-(tDatos[[#This Row],[CoefUTCO]]))/24),tDatos[[#This Row],[FECHA]]+tDatos[[#This Row],[HORA]])</f>
        <v>46194.875</v>
      </c>
      <c r="S41" s="168">
        <v>3324</v>
      </c>
      <c r="T41" s="168" t="s">
        <v>485</v>
      </c>
      <c r="U41" s="167" t="s">
        <v>428</v>
      </c>
      <c r="V41" s="167" t="s">
        <v>432</v>
      </c>
      <c r="W41" s="167" t="s">
        <v>430</v>
      </c>
      <c r="X41" s="167" t="s">
        <v>429</v>
      </c>
      <c r="Y41" s="167" t="s">
        <v>433</v>
      </c>
      <c r="Z41" s="167" t="s">
        <v>431</v>
      </c>
      <c r="AA41" s="167" t="s">
        <v>437</v>
      </c>
      <c r="AB41" s="169" t="s">
        <v>436</v>
      </c>
    </row>
    <row r="42" spans="1:28" ht="23.25" customHeight="1" x14ac:dyDescent="0.25">
      <c r="A42" s="186" t="s">
        <v>193</v>
      </c>
      <c r="F42" s="101">
        <v>41</v>
      </c>
      <c r="G42" s="101" t="s">
        <v>152</v>
      </c>
      <c r="H42" s="102">
        <v>46195</v>
      </c>
      <c r="I42" s="103">
        <v>0.54166666666666663</v>
      </c>
      <c r="J42" s="101" t="s">
        <v>18</v>
      </c>
      <c r="K42" s="101" t="s">
        <v>227</v>
      </c>
      <c r="L42" s="104" t="s">
        <v>92</v>
      </c>
      <c r="M42" s="104" t="s">
        <v>376</v>
      </c>
      <c r="N42" s="104" t="s">
        <v>215</v>
      </c>
      <c r="O42" s="101" t="s">
        <v>241</v>
      </c>
      <c r="P42" s="128">
        <f>(MID(tDatos[[#This Row],[UTCO]],5,2)+RIGHT(tDatos[[#This Row],[UTCO]],2)/60)*IF(tDatos[[#This Row],[UTCO]]="","",IF(MID(tDatos[[#This Row],[UTCO]],4,1)="+",1,-1))</f>
        <v>-4</v>
      </c>
      <c r="Q42" s="160">
        <f>IFERROR(tDatos[[#This Row],[FECHA]]+tDatos[[#This Row],[HORA]]+(((CoefUTCD)-(tDatos[[#This Row],[CoefUTCO]]))/24),tDatos[[#This Row],[FECHA]]+tDatos[[#This Row],[HORA]])</f>
        <v>46195.541666666664</v>
      </c>
      <c r="S42" s="168">
        <v>2812</v>
      </c>
      <c r="T42" s="168" t="s">
        <v>486</v>
      </c>
      <c r="U42" s="167" t="s">
        <v>428</v>
      </c>
      <c r="V42" s="167" t="s">
        <v>432</v>
      </c>
      <c r="W42" s="167" t="s">
        <v>435</v>
      </c>
      <c r="X42" s="167" t="s">
        <v>429</v>
      </c>
      <c r="Y42" s="167" t="s">
        <v>433</v>
      </c>
      <c r="Z42" s="167" t="s">
        <v>431</v>
      </c>
      <c r="AA42" s="167" t="s">
        <v>437</v>
      </c>
      <c r="AB42" s="169" t="s">
        <v>430</v>
      </c>
    </row>
    <row r="43" spans="1:28" ht="23.25" customHeight="1" x14ac:dyDescent="0.25">
      <c r="A43" s="186" t="s">
        <v>276</v>
      </c>
      <c r="F43" s="101">
        <v>42</v>
      </c>
      <c r="G43" s="101" t="s">
        <v>152</v>
      </c>
      <c r="H43" s="102">
        <v>46195</v>
      </c>
      <c r="I43" s="103">
        <v>0.70833333333333337</v>
      </c>
      <c r="J43" s="101" t="s">
        <v>17</v>
      </c>
      <c r="K43" s="101" t="s">
        <v>284</v>
      </c>
      <c r="L43" s="104" t="s">
        <v>115</v>
      </c>
      <c r="M43" s="104" t="s">
        <v>377</v>
      </c>
      <c r="N43" s="104" t="s">
        <v>216</v>
      </c>
      <c r="O43" s="101" t="s">
        <v>241</v>
      </c>
      <c r="P43" s="128">
        <f>(MID(tDatos[[#This Row],[UTCO]],5,2)+RIGHT(tDatos[[#This Row],[UTCO]],2)/60)*IF(tDatos[[#This Row],[UTCO]]="","",IF(MID(tDatos[[#This Row],[UTCO]],4,1)="+",1,-1))</f>
        <v>-4</v>
      </c>
      <c r="Q43" s="160">
        <f>IFERROR(tDatos[[#This Row],[FECHA]]+tDatos[[#This Row],[HORA]]+(((CoefUTCD)-(tDatos[[#This Row],[CoefUTCO]]))/24),tDatos[[#This Row],[FECHA]]+tDatos[[#This Row],[HORA]])</f>
        <v>46195.708333333336</v>
      </c>
      <c r="S43" s="168">
        <v>1788</v>
      </c>
      <c r="T43" s="168" t="s">
        <v>487</v>
      </c>
      <c r="U43" s="167" t="s">
        <v>428</v>
      </c>
      <c r="V43" s="167" t="s">
        <v>432</v>
      </c>
      <c r="W43" s="167" t="s">
        <v>435</v>
      </c>
      <c r="X43" s="167" t="s">
        <v>429</v>
      </c>
      <c r="Y43" s="167" t="s">
        <v>433</v>
      </c>
      <c r="Z43" s="167" t="s">
        <v>431</v>
      </c>
      <c r="AA43" s="167" t="s">
        <v>430</v>
      </c>
      <c r="AB43" s="169" t="s">
        <v>436</v>
      </c>
    </row>
    <row r="44" spans="1:28" ht="23.25" customHeight="1" x14ac:dyDescent="0.25">
      <c r="A44" s="186" t="s">
        <v>16</v>
      </c>
      <c r="F44" s="101">
        <v>43</v>
      </c>
      <c r="G44" s="101" t="s">
        <v>152</v>
      </c>
      <c r="H44" s="102">
        <v>46195</v>
      </c>
      <c r="I44" s="103">
        <v>0.83333333333333337</v>
      </c>
      <c r="J44" s="101" t="s">
        <v>224</v>
      </c>
      <c r="K44" s="101" t="s">
        <v>35</v>
      </c>
      <c r="L44" s="104" t="s">
        <v>115</v>
      </c>
      <c r="M44" s="104" t="s">
        <v>370</v>
      </c>
      <c r="N44" s="104" t="s">
        <v>209</v>
      </c>
      <c r="O44" s="101" t="s">
        <v>241</v>
      </c>
      <c r="P44" s="128">
        <f>(MID(tDatos[[#This Row],[UTCO]],5,2)+RIGHT(tDatos[[#This Row],[UTCO]],2)/60)*IF(tDatos[[#This Row],[UTCO]]="","",IF(MID(tDatos[[#This Row],[UTCO]],4,1)="+",1,-1))</f>
        <v>-4</v>
      </c>
      <c r="Q44" s="160">
        <f>IFERROR(tDatos[[#This Row],[FECHA]]+tDatos[[#This Row],[HORA]]+(((CoefUTCD)-(tDatos[[#This Row],[CoefUTCO]]))/24),tDatos[[#This Row],[FECHA]]+tDatos[[#This Row],[HORA]])</f>
        <v>46195.833333333336</v>
      </c>
      <c r="S44" s="168">
        <v>2556</v>
      </c>
      <c r="T44" s="168" t="s">
        <v>488</v>
      </c>
      <c r="U44" s="167" t="s">
        <v>428</v>
      </c>
      <c r="V44" s="167" t="s">
        <v>432</v>
      </c>
      <c r="W44" s="167" t="s">
        <v>430</v>
      </c>
      <c r="X44" s="167" t="s">
        <v>429</v>
      </c>
      <c r="Y44" s="167" t="s">
        <v>433</v>
      </c>
      <c r="Z44" s="167" t="s">
        <v>431</v>
      </c>
      <c r="AA44" s="167" t="s">
        <v>437</v>
      </c>
      <c r="AB44" s="169" t="s">
        <v>434</v>
      </c>
    </row>
    <row r="45" spans="1:28" ht="23.25" customHeight="1" x14ac:dyDescent="0.25">
      <c r="A45" s="186" t="s">
        <v>33</v>
      </c>
      <c r="F45" s="101">
        <v>44</v>
      </c>
      <c r="G45" s="101" t="s">
        <v>310</v>
      </c>
      <c r="H45" s="102">
        <v>46195</v>
      </c>
      <c r="I45" s="103">
        <v>0.95833333333333337</v>
      </c>
      <c r="J45" s="101" t="s">
        <v>231</v>
      </c>
      <c r="K45" s="101" t="s">
        <v>225</v>
      </c>
      <c r="L45" s="104" t="s">
        <v>92</v>
      </c>
      <c r="M45" s="104" t="s">
        <v>374</v>
      </c>
      <c r="N45" s="104" t="s">
        <v>268</v>
      </c>
      <c r="O45" s="101" t="s">
        <v>241</v>
      </c>
      <c r="P45" s="128">
        <f>(MID(tDatos[[#This Row],[UTCO]],5,2)+RIGHT(tDatos[[#This Row],[UTCO]],2)/60)*IF(tDatos[[#This Row],[UTCO]]="","",IF(MID(tDatos[[#This Row],[UTCO]],4,1)="+",1,-1))</f>
        <v>-4</v>
      </c>
      <c r="Q45" s="160">
        <f>IFERROR(tDatos[[#This Row],[FECHA]]+tDatos[[#This Row],[HORA]]+(((CoefUTCD)-(tDatos[[#This Row],[CoefUTCO]]))/24),tDatos[[#This Row],[FECHA]]+tDatos[[#This Row],[HORA]])</f>
        <v>46195.958333333336</v>
      </c>
      <c r="S45" s="168">
        <v>1532</v>
      </c>
      <c r="T45" s="168" t="s">
        <v>489</v>
      </c>
      <c r="U45" s="167" t="s">
        <v>428</v>
      </c>
      <c r="V45" s="167" t="s">
        <v>432</v>
      </c>
      <c r="W45" s="167" t="s">
        <v>430</v>
      </c>
      <c r="X45" s="167" t="s">
        <v>429</v>
      </c>
      <c r="Y45" s="167" t="s">
        <v>433</v>
      </c>
      <c r="Z45" s="167" t="s">
        <v>431</v>
      </c>
      <c r="AA45" s="167" t="s">
        <v>434</v>
      </c>
      <c r="AB45" s="169" t="s">
        <v>436</v>
      </c>
    </row>
    <row r="46" spans="1:28" ht="23.25" customHeight="1" x14ac:dyDescent="0.25">
      <c r="A46" s="186" t="s">
        <v>275</v>
      </c>
      <c r="F46" s="101">
        <v>45</v>
      </c>
      <c r="G46" s="101" t="s">
        <v>148</v>
      </c>
      <c r="H46" s="102">
        <v>46196</v>
      </c>
      <c r="I46" s="103">
        <v>0.54166666666666663</v>
      </c>
      <c r="J46" s="101" t="s">
        <v>20</v>
      </c>
      <c r="K46" s="101" t="s">
        <v>229</v>
      </c>
      <c r="L46" s="104" t="s">
        <v>96</v>
      </c>
      <c r="M46" s="104" t="s">
        <v>375</v>
      </c>
      <c r="N46" s="104" t="s">
        <v>214</v>
      </c>
      <c r="O46" s="101" t="s">
        <v>241</v>
      </c>
      <c r="P46" s="128">
        <f>(MID(tDatos[[#This Row],[UTCO]],5,2)+RIGHT(tDatos[[#This Row],[UTCO]],2)/60)*IF(tDatos[[#This Row],[UTCO]]="","",IF(MID(tDatos[[#This Row],[UTCO]],4,1)="+",1,-1))</f>
        <v>-4</v>
      </c>
      <c r="Q46" s="160">
        <f>IFERROR(tDatos[[#This Row],[FECHA]]+tDatos[[#This Row],[HORA]]+(((CoefUTCD)-(tDatos[[#This Row],[CoefUTCO]]))/24),tDatos[[#This Row],[FECHA]]+tDatos[[#This Row],[HORA]])</f>
        <v>46196.541666666664</v>
      </c>
      <c r="S46" s="168">
        <v>1020</v>
      </c>
      <c r="T46" s="168" t="s">
        <v>490</v>
      </c>
      <c r="U46" s="167" t="s">
        <v>428</v>
      </c>
      <c r="V46" s="167" t="s">
        <v>432</v>
      </c>
      <c r="W46" s="167" t="s">
        <v>435</v>
      </c>
      <c r="X46" s="167" t="s">
        <v>429</v>
      </c>
      <c r="Y46" s="167" t="s">
        <v>433</v>
      </c>
      <c r="Z46" s="167" t="s">
        <v>431</v>
      </c>
      <c r="AA46" s="167" t="s">
        <v>430</v>
      </c>
      <c r="AB46" s="169" t="s">
        <v>434</v>
      </c>
    </row>
    <row r="47" spans="1:28" ht="23.25" customHeight="1" x14ac:dyDescent="0.25">
      <c r="A47" s="186" t="s">
        <v>14</v>
      </c>
      <c r="F47" s="101">
        <v>46</v>
      </c>
      <c r="G47" s="101" t="s">
        <v>148</v>
      </c>
      <c r="H47" s="102">
        <v>46196</v>
      </c>
      <c r="I47" s="103">
        <v>0.66666666666666663</v>
      </c>
      <c r="J47" s="101" t="s">
        <v>15</v>
      </c>
      <c r="K47" s="101" t="s">
        <v>68</v>
      </c>
      <c r="L47" s="104" t="s">
        <v>101</v>
      </c>
      <c r="M47" s="104" t="s">
        <v>371</v>
      </c>
      <c r="N47" s="104" t="s">
        <v>212</v>
      </c>
      <c r="O47" s="101" t="s">
        <v>241</v>
      </c>
      <c r="P47" s="128">
        <f>(MID(tDatos[[#This Row],[UTCO]],5,2)+RIGHT(tDatos[[#This Row],[UTCO]],2)/60)*IF(tDatos[[#This Row],[UTCO]]="","",IF(MID(tDatos[[#This Row],[UTCO]],4,1)="+",1,-1))</f>
        <v>-4</v>
      </c>
      <c r="Q47" s="160">
        <f>IFERROR(tDatos[[#This Row],[FECHA]]+tDatos[[#This Row],[HORA]]+(((CoefUTCD)-(tDatos[[#This Row],[CoefUTCO]]))/24),tDatos[[#This Row],[FECHA]]+tDatos[[#This Row],[HORA]])</f>
        <v>46196.666666666664</v>
      </c>
      <c r="S47" s="168">
        <v>4066</v>
      </c>
      <c r="T47" s="168" t="s">
        <v>491</v>
      </c>
      <c r="U47" s="167" t="s">
        <v>433</v>
      </c>
      <c r="V47" s="167" t="s">
        <v>435</v>
      </c>
      <c r="W47" s="167" t="s">
        <v>427</v>
      </c>
      <c r="X47" s="167" t="s">
        <v>431</v>
      </c>
      <c r="Y47" s="167" t="s">
        <v>434</v>
      </c>
      <c r="Z47" s="167" t="s">
        <v>432</v>
      </c>
      <c r="AA47" s="167" t="s">
        <v>437</v>
      </c>
      <c r="AB47" s="169" t="s">
        <v>436</v>
      </c>
    </row>
    <row r="48" spans="1:28" ht="23.25" customHeight="1" x14ac:dyDescent="0.25">
      <c r="A48" s="186" t="s">
        <v>229</v>
      </c>
      <c r="F48" s="101">
        <v>47</v>
      </c>
      <c r="G48" s="101" t="s">
        <v>148</v>
      </c>
      <c r="H48" s="102">
        <v>46196</v>
      </c>
      <c r="I48" s="103">
        <v>0.79166666666666663</v>
      </c>
      <c r="J48" s="101" t="s">
        <v>228</v>
      </c>
      <c r="K48" s="101" t="s">
        <v>11</v>
      </c>
      <c r="L48" s="104" t="s">
        <v>101</v>
      </c>
      <c r="M48" s="104" t="s">
        <v>373</v>
      </c>
      <c r="N48" s="104" t="s">
        <v>207</v>
      </c>
      <c r="O48" s="101" t="s">
        <v>241</v>
      </c>
      <c r="P48" s="128">
        <f>(MID(tDatos[[#This Row],[UTCO]],5,2)+RIGHT(tDatos[[#This Row],[UTCO]],2)/60)*IF(tDatos[[#This Row],[UTCO]]="","",IF(MID(tDatos[[#This Row],[UTCO]],4,1)="+",1,-1))</f>
        <v>-4</v>
      </c>
      <c r="Q48" s="160">
        <f>IFERROR(tDatos[[#This Row],[FECHA]]+tDatos[[#This Row],[HORA]]+(((CoefUTCD)-(tDatos[[#This Row],[CoefUTCO]]))/24),tDatos[[#This Row],[FECHA]]+tDatos[[#This Row],[HORA]])</f>
        <v>46196.791666666664</v>
      </c>
      <c r="S48" s="168">
        <v>4050</v>
      </c>
      <c r="T48" s="168" t="s">
        <v>492</v>
      </c>
      <c r="U48" s="167" t="s">
        <v>430</v>
      </c>
      <c r="V48" s="167" t="s">
        <v>435</v>
      </c>
      <c r="W48" s="167" t="s">
        <v>434</v>
      </c>
      <c r="X48" s="167" t="s">
        <v>427</v>
      </c>
      <c r="Y48" s="167" t="s">
        <v>433</v>
      </c>
      <c r="Z48" s="167" t="s">
        <v>432</v>
      </c>
      <c r="AA48" s="167" t="s">
        <v>437</v>
      </c>
      <c r="AB48" s="169" t="s">
        <v>436</v>
      </c>
    </row>
    <row r="49" spans="1:28" ht="23.25" customHeight="1" x14ac:dyDescent="0.25">
      <c r="A49" s="8" t="s">
        <v>62</v>
      </c>
      <c r="F49" s="101">
        <v>48</v>
      </c>
      <c r="G49" s="101" t="s">
        <v>148</v>
      </c>
      <c r="H49" s="102">
        <v>46196</v>
      </c>
      <c r="I49" s="103">
        <v>0.91666666666666663</v>
      </c>
      <c r="J49" s="101" t="s">
        <v>230</v>
      </c>
      <c r="K49" s="101" t="s">
        <v>359</v>
      </c>
      <c r="L49" s="104" t="s">
        <v>96</v>
      </c>
      <c r="M49" s="104" t="s">
        <v>367</v>
      </c>
      <c r="N49" s="104" t="s">
        <v>206</v>
      </c>
      <c r="O49" s="101" t="s">
        <v>241</v>
      </c>
      <c r="P49" s="128">
        <f>(MID(tDatos[[#This Row],[UTCO]],5,2)+RIGHT(tDatos[[#This Row],[UTCO]],2)/60)*IF(tDatos[[#This Row],[UTCO]]="","",IF(MID(tDatos[[#This Row],[UTCO]],4,1)="+",1,-1))</f>
        <v>-4</v>
      </c>
      <c r="Q49" s="160">
        <f>IFERROR(tDatos[[#This Row],[FECHA]]+tDatos[[#This Row],[HORA]]+(((CoefUTCD)-(tDatos[[#This Row],[CoefUTCO]]))/24),tDatos[[#This Row],[FECHA]]+tDatos[[#This Row],[HORA]])</f>
        <v>46196.916666666664</v>
      </c>
      <c r="S49" s="168">
        <v>4018</v>
      </c>
      <c r="T49" s="168" t="s">
        <v>493</v>
      </c>
      <c r="U49" s="167" t="s">
        <v>430</v>
      </c>
      <c r="V49" s="167" t="s">
        <v>435</v>
      </c>
      <c r="W49" s="167" t="s">
        <v>427</v>
      </c>
      <c r="X49" s="167" t="s">
        <v>431</v>
      </c>
      <c r="Y49" s="167" t="s">
        <v>434</v>
      </c>
      <c r="Z49" s="167" t="s">
        <v>433</v>
      </c>
      <c r="AA49" s="167" t="s">
        <v>437</v>
      </c>
      <c r="AB49" s="169" t="s">
        <v>436</v>
      </c>
    </row>
    <row r="50" spans="1:28" ht="23.25" customHeight="1" x14ac:dyDescent="0.25">
      <c r="F50" s="101">
        <v>49</v>
      </c>
      <c r="G50" s="101" t="s">
        <v>143</v>
      </c>
      <c r="H50" s="102">
        <v>46197</v>
      </c>
      <c r="I50" s="103">
        <v>0.625</v>
      </c>
      <c r="J50" s="101" t="s">
        <v>16</v>
      </c>
      <c r="K50" s="101" t="s">
        <v>67</v>
      </c>
      <c r="L50" s="104" t="s">
        <v>140</v>
      </c>
      <c r="M50" s="104" t="s">
        <v>372</v>
      </c>
      <c r="N50" s="104" t="s">
        <v>269</v>
      </c>
      <c r="O50" s="101" t="s">
        <v>241</v>
      </c>
      <c r="P50" s="128">
        <f>(MID(tDatos[[#This Row],[UTCO]],5,2)+RIGHT(tDatos[[#This Row],[UTCO]],2)/60)*IF(tDatos[[#This Row],[UTCO]]="","",IF(MID(tDatos[[#This Row],[UTCO]],4,1)="+",1,-1))</f>
        <v>-4</v>
      </c>
      <c r="Q50" s="160">
        <f>IFERROR(tDatos[[#This Row],[FECHA]]+tDatos[[#This Row],[HORA]]+(((CoefUTCD)-(tDatos[[#This Row],[CoefUTCO]]))/24),tDatos[[#This Row],[FECHA]]+tDatos[[#This Row],[HORA]])</f>
        <v>46197.625</v>
      </c>
      <c r="S50" s="168">
        <v>3954</v>
      </c>
      <c r="T50" s="168" t="s">
        <v>494</v>
      </c>
      <c r="U50" s="167" t="s">
        <v>430</v>
      </c>
      <c r="V50" s="167" t="s">
        <v>435</v>
      </c>
      <c r="W50" s="167" t="s">
        <v>427</v>
      </c>
      <c r="X50" s="167" t="s">
        <v>431</v>
      </c>
      <c r="Y50" s="167" t="s">
        <v>434</v>
      </c>
      <c r="Z50" s="167" t="s">
        <v>432</v>
      </c>
      <c r="AA50" s="167" t="s">
        <v>437</v>
      </c>
      <c r="AB50" s="169" t="s">
        <v>436</v>
      </c>
    </row>
    <row r="51" spans="1:28" ht="23.25" customHeight="1" x14ac:dyDescent="0.25">
      <c r="F51" s="101">
        <v>50</v>
      </c>
      <c r="G51" s="101" t="s">
        <v>143</v>
      </c>
      <c r="H51" s="102">
        <v>46197</v>
      </c>
      <c r="I51" s="103">
        <v>0.625</v>
      </c>
      <c r="J51" s="101" t="s">
        <v>274</v>
      </c>
      <c r="K51" s="101" t="s">
        <v>64</v>
      </c>
      <c r="L51" s="104" t="s">
        <v>140</v>
      </c>
      <c r="M51" s="104" t="s">
        <v>380</v>
      </c>
      <c r="N51" s="104" t="s">
        <v>221</v>
      </c>
      <c r="O51" s="101" t="s">
        <v>241</v>
      </c>
      <c r="P51" s="128">
        <f>(MID(tDatos[[#This Row],[UTCO]],5,2)+RIGHT(tDatos[[#This Row],[UTCO]],2)/60)*IF(tDatos[[#This Row],[UTCO]]="","",IF(MID(tDatos[[#This Row],[UTCO]],4,1)="+",1,-1))</f>
        <v>-4</v>
      </c>
      <c r="Q51" s="160">
        <f>IFERROR(tDatos[[#This Row],[FECHA]]+tDatos[[#This Row],[HORA]]+(((CoefUTCD)-(tDatos[[#This Row],[CoefUTCO]]))/24),tDatos[[#This Row],[FECHA]]+tDatos[[#This Row],[HORA]])</f>
        <v>46197.625</v>
      </c>
      <c r="S51" s="168">
        <v>3826</v>
      </c>
      <c r="T51" s="168" t="s">
        <v>495</v>
      </c>
      <c r="U51" s="167" t="s">
        <v>430</v>
      </c>
      <c r="V51" s="167" t="s">
        <v>435</v>
      </c>
      <c r="W51" s="167" t="s">
        <v>427</v>
      </c>
      <c r="X51" s="167" t="s">
        <v>431</v>
      </c>
      <c r="Y51" s="167" t="s">
        <v>433</v>
      </c>
      <c r="Z51" s="167" t="s">
        <v>432</v>
      </c>
      <c r="AA51" s="167" t="s">
        <v>437</v>
      </c>
      <c r="AB51" s="169" t="s">
        <v>436</v>
      </c>
    </row>
    <row r="52" spans="1:28" ht="23.25" customHeight="1" x14ac:dyDescent="0.25">
      <c r="F52" s="101">
        <v>51</v>
      </c>
      <c r="G52" s="101" t="s">
        <v>143</v>
      </c>
      <c r="H52" s="102">
        <v>46197</v>
      </c>
      <c r="I52" s="103">
        <v>0.75</v>
      </c>
      <c r="J52" s="101" t="s">
        <v>211</v>
      </c>
      <c r="K52" s="101" t="s">
        <v>10</v>
      </c>
      <c r="L52" s="104" t="s">
        <v>136</v>
      </c>
      <c r="M52" s="104" t="s">
        <v>381</v>
      </c>
      <c r="N52" s="104" t="s">
        <v>222</v>
      </c>
      <c r="O52" s="101" t="s">
        <v>241</v>
      </c>
      <c r="P52" s="128">
        <f>(MID(tDatos[[#This Row],[UTCO]],5,2)+RIGHT(tDatos[[#This Row],[UTCO]],2)/60)*IF(tDatos[[#This Row],[UTCO]]="","",IF(MID(tDatos[[#This Row],[UTCO]],4,1)="+",1,-1))</f>
        <v>-4</v>
      </c>
      <c r="Q52" s="160">
        <f>IFERROR(tDatos[[#This Row],[FECHA]]+tDatos[[#This Row],[HORA]]+(((CoefUTCD)-(tDatos[[#This Row],[CoefUTCO]]))/24),tDatos[[#This Row],[FECHA]]+tDatos[[#This Row],[HORA]])</f>
        <v>46197.75</v>
      </c>
      <c r="S52" s="168">
        <v>3570</v>
      </c>
      <c r="T52" s="168" t="s">
        <v>496</v>
      </c>
      <c r="U52" s="167" t="s">
        <v>430</v>
      </c>
      <c r="V52" s="167" t="s">
        <v>432</v>
      </c>
      <c r="W52" s="167" t="s">
        <v>427</v>
      </c>
      <c r="X52" s="167" t="s">
        <v>431</v>
      </c>
      <c r="Y52" s="167" t="s">
        <v>434</v>
      </c>
      <c r="Z52" s="167" t="s">
        <v>433</v>
      </c>
      <c r="AA52" s="167" t="s">
        <v>437</v>
      </c>
      <c r="AB52" s="169" t="s">
        <v>436</v>
      </c>
    </row>
    <row r="53" spans="1:28" ht="23.25" customHeight="1" x14ac:dyDescent="0.25">
      <c r="F53" s="101">
        <v>52</v>
      </c>
      <c r="G53" s="101" t="s">
        <v>143</v>
      </c>
      <c r="H53" s="102">
        <v>46197</v>
      </c>
      <c r="I53" s="103">
        <v>0.75</v>
      </c>
      <c r="J53" s="101" t="s">
        <v>29</v>
      </c>
      <c r="K53" s="101" t="s">
        <v>210</v>
      </c>
      <c r="L53" s="104" t="s">
        <v>136</v>
      </c>
      <c r="M53" s="104" t="s">
        <v>379</v>
      </c>
      <c r="N53" s="104" t="s">
        <v>219</v>
      </c>
      <c r="O53" s="101" t="s">
        <v>241</v>
      </c>
      <c r="P53" s="128">
        <f>(MID(tDatos[[#This Row],[UTCO]],5,2)+RIGHT(tDatos[[#This Row],[UTCO]],2)/60)*IF(tDatos[[#This Row],[UTCO]]="","",IF(MID(tDatos[[#This Row],[UTCO]],4,1)="+",1,-1))</f>
        <v>-4</v>
      </c>
      <c r="Q53" s="160">
        <f>IFERROR(tDatos[[#This Row],[FECHA]]+tDatos[[#This Row],[HORA]]+(((CoefUTCD)-(tDatos[[#This Row],[CoefUTCO]]))/24),tDatos[[#This Row],[FECHA]]+tDatos[[#This Row],[HORA]])</f>
        <v>46197.75</v>
      </c>
      <c r="S53" s="168">
        <v>3058</v>
      </c>
      <c r="T53" s="168" t="s">
        <v>497</v>
      </c>
      <c r="U53" s="167" t="s">
        <v>430</v>
      </c>
      <c r="V53" s="167" t="s">
        <v>435</v>
      </c>
      <c r="W53" s="167" t="s">
        <v>427</v>
      </c>
      <c r="X53" s="167" t="s">
        <v>431</v>
      </c>
      <c r="Y53" s="167" t="s">
        <v>433</v>
      </c>
      <c r="Z53" s="167" t="s">
        <v>432</v>
      </c>
      <c r="AA53" s="167" t="s">
        <v>437</v>
      </c>
      <c r="AB53" s="169" t="s">
        <v>434</v>
      </c>
    </row>
    <row r="54" spans="1:28" ht="23.25" customHeight="1" x14ac:dyDescent="0.25">
      <c r="F54" s="101">
        <v>53</v>
      </c>
      <c r="G54" s="101" t="s">
        <v>143</v>
      </c>
      <c r="H54" s="102">
        <v>46197</v>
      </c>
      <c r="I54" s="103">
        <v>0.875</v>
      </c>
      <c r="J54" s="101" t="s">
        <v>312</v>
      </c>
      <c r="K54" s="101" t="s">
        <v>31</v>
      </c>
      <c r="L54" s="104" t="s">
        <v>132</v>
      </c>
      <c r="M54" s="104" t="s">
        <v>366</v>
      </c>
      <c r="N54" s="104" t="s">
        <v>205</v>
      </c>
      <c r="O54" s="101" t="s">
        <v>241</v>
      </c>
      <c r="P54" s="128">
        <f>(MID(tDatos[[#This Row],[UTCO]],5,2)+RIGHT(tDatos[[#This Row],[UTCO]],2)/60)*IF(tDatos[[#This Row],[UTCO]]="","",IF(MID(tDatos[[#This Row],[UTCO]],4,1)="+",1,-1))</f>
        <v>-4</v>
      </c>
      <c r="Q54" s="160">
        <f>IFERROR(tDatos[[#This Row],[FECHA]]+tDatos[[#This Row],[HORA]]+(((CoefUTCD)-(tDatos[[#This Row],[CoefUTCO]]))/24),tDatos[[#This Row],[FECHA]]+tDatos[[#This Row],[HORA]])</f>
        <v>46197.875</v>
      </c>
      <c r="S54" s="168">
        <v>2034</v>
      </c>
      <c r="T54" s="168" t="s">
        <v>498</v>
      </c>
      <c r="U54" s="167" t="s">
        <v>430</v>
      </c>
      <c r="V54" s="167" t="s">
        <v>435</v>
      </c>
      <c r="W54" s="167" t="s">
        <v>427</v>
      </c>
      <c r="X54" s="167" t="s">
        <v>431</v>
      </c>
      <c r="Y54" s="167" t="s">
        <v>433</v>
      </c>
      <c r="Z54" s="167" t="s">
        <v>432</v>
      </c>
      <c r="AA54" s="167" t="s">
        <v>434</v>
      </c>
      <c r="AB54" s="169" t="s">
        <v>436</v>
      </c>
    </row>
    <row r="55" spans="1:28" ht="23.25" customHeight="1" x14ac:dyDescent="0.25">
      <c r="F55" s="101">
        <v>54</v>
      </c>
      <c r="G55" s="101" t="s">
        <v>143</v>
      </c>
      <c r="H55" s="102">
        <v>46197</v>
      </c>
      <c r="I55" s="103">
        <v>0.875</v>
      </c>
      <c r="J55" s="101" t="s">
        <v>193</v>
      </c>
      <c r="K55" s="101" t="s">
        <v>360</v>
      </c>
      <c r="L55" s="104" t="s">
        <v>132</v>
      </c>
      <c r="M55" s="104" t="s">
        <v>378</v>
      </c>
      <c r="N55" s="104" t="s">
        <v>217</v>
      </c>
      <c r="O55" s="101" t="s">
        <v>241</v>
      </c>
      <c r="P55" s="128">
        <f>(MID(tDatos[[#This Row],[UTCO]],5,2)+RIGHT(tDatos[[#This Row],[UTCO]],2)/60)*IF(tDatos[[#This Row],[UTCO]]="","",IF(MID(tDatos[[#This Row],[UTCO]],4,1)="+",1,-1))</f>
        <v>-4</v>
      </c>
      <c r="Q55" s="160">
        <f>IFERROR(tDatos[[#This Row],[FECHA]]+tDatos[[#This Row],[HORA]]+(((CoefUTCD)-(tDatos[[#This Row],[CoefUTCO]]))/24),tDatos[[#This Row],[FECHA]]+tDatos[[#This Row],[HORA]])</f>
        <v>46197.875</v>
      </c>
      <c r="S55" s="168">
        <v>4042</v>
      </c>
      <c r="T55" s="168" t="s">
        <v>499</v>
      </c>
      <c r="U55" s="167" t="s">
        <v>433</v>
      </c>
      <c r="V55" s="167" t="s">
        <v>435</v>
      </c>
      <c r="W55" s="167" t="s">
        <v>427</v>
      </c>
      <c r="X55" s="167" t="s">
        <v>429</v>
      </c>
      <c r="Y55" s="167" t="s">
        <v>434</v>
      </c>
      <c r="Z55" s="167" t="s">
        <v>432</v>
      </c>
      <c r="AA55" s="167" t="s">
        <v>437</v>
      </c>
      <c r="AB55" s="169" t="s">
        <v>436</v>
      </c>
    </row>
    <row r="56" spans="1:28" ht="23.25" customHeight="1" x14ac:dyDescent="0.25">
      <c r="F56" s="101">
        <v>55</v>
      </c>
      <c r="G56" s="101" t="s">
        <v>130</v>
      </c>
      <c r="H56" s="102">
        <v>46198</v>
      </c>
      <c r="I56" s="103">
        <v>0.66666666666666663</v>
      </c>
      <c r="J56" s="101" t="s">
        <v>213</v>
      </c>
      <c r="K56" s="101" t="s">
        <v>194</v>
      </c>
      <c r="L56" s="104" t="s">
        <v>128</v>
      </c>
      <c r="M56" s="104" t="s">
        <v>377</v>
      </c>
      <c r="N56" s="104" t="s">
        <v>216</v>
      </c>
      <c r="O56" s="101" t="s">
        <v>241</v>
      </c>
      <c r="P56" s="128">
        <f>(MID(tDatos[[#This Row],[UTCO]],5,2)+RIGHT(tDatos[[#This Row],[UTCO]],2)/60)*IF(tDatos[[#This Row],[UTCO]]="","",IF(MID(tDatos[[#This Row],[UTCO]],4,1)="+",1,-1))</f>
        <v>-4</v>
      </c>
      <c r="Q56" s="160">
        <f>IFERROR(tDatos[[#This Row],[FECHA]]+tDatos[[#This Row],[HORA]]+(((CoefUTCD)-(tDatos[[#This Row],[CoefUTCO]]))/24),tDatos[[#This Row],[FECHA]]+tDatos[[#This Row],[HORA]])</f>
        <v>46198.666666666664</v>
      </c>
      <c r="S56" s="168">
        <v>4010</v>
      </c>
      <c r="T56" s="168" t="s">
        <v>500</v>
      </c>
      <c r="U56" s="167" t="s">
        <v>433</v>
      </c>
      <c r="V56" s="167" t="s">
        <v>435</v>
      </c>
      <c r="W56" s="167" t="s">
        <v>427</v>
      </c>
      <c r="X56" s="167" t="s">
        <v>429</v>
      </c>
      <c r="Y56" s="167" t="s">
        <v>434</v>
      </c>
      <c r="Z56" s="167" t="s">
        <v>431</v>
      </c>
      <c r="AA56" s="167" t="s">
        <v>437</v>
      </c>
      <c r="AB56" s="169" t="s">
        <v>436</v>
      </c>
    </row>
    <row r="57" spans="1:28" ht="23.25" customHeight="1" x14ac:dyDescent="0.25">
      <c r="F57" s="101">
        <v>56</v>
      </c>
      <c r="G57" s="101" t="s">
        <v>130</v>
      </c>
      <c r="H57" s="102">
        <v>46198</v>
      </c>
      <c r="I57" s="103">
        <v>0.66666666666666663</v>
      </c>
      <c r="J57" s="101" t="s">
        <v>65</v>
      </c>
      <c r="K57" s="101" t="s">
        <v>19</v>
      </c>
      <c r="L57" s="104" t="s">
        <v>128</v>
      </c>
      <c r="M57" s="104" t="s">
        <v>370</v>
      </c>
      <c r="N57" s="104" t="s">
        <v>209</v>
      </c>
      <c r="O57" s="101" t="s">
        <v>241</v>
      </c>
      <c r="P57" s="128">
        <f>(MID(tDatos[[#This Row],[UTCO]],5,2)+RIGHT(tDatos[[#This Row],[UTCO]],2)/60)*IF(tDatos[[#This Row],[UTCO]]="","",IF(MID(tDatos[[#This Row],[UTCO]],4,1)="+",1,-1))</f>
        <v>-4</v>
      </c>
      <c r="Q57" s="160">
        <f>IFERROR(tDatos[[#This Row],[FECHA]]+tDatos[[#This Row],[HORA]]+(((CoefUTCD)-(tDatos[[#This Row],[CoefUTCO]]))/24),tDatos[[#This Row],[FECHA]]+tDatos[[#This Row],[HORA]])</f>
        <v>46198.666666666664</v>
      </c>
      <c r="S57" s="168">
        <v>3946</v>
      </c>
      <c r="T57" s="168" t="s">
        <v>501</v>
      </c>
      <c r="U57" s="167" t="s">
        <v>434</v>
      </c>
      <c r="V57" s="167" t="s">
        <v>432</v>
      </c>
      <c r="W57" s="167" t="s">
        <v>427</v>
      </c>
      <c r="X57" s="167" t="s">
        <v>429</v>
      </c>
      <c r="Y57" s="167" t="s">
        <v>435</v>
      </c>
      <c r="Z57" s="167" t="s">
        <v>431</v>
      </c>
      <c r="AA57" s="167" t="s">
        <v>437</v>
      </c>
      <c r="AB57" s="169" t="s">
        <v>436</v>
      </c>
    </row>
    <row r="58" spans="1:28" ht="23.25" customHeight="1" x14ac:dyDescent="0.25">
      <c r="F58" s="101">
        <v>57</v>
      </c>
      <c r="G58" s="101" t="s">
        <v>130</v>
      </c>
      <c r="H58" s="102">
        <v>46198</v>
      </c>
      <c r="I58" s="103">
        <v>0.79166666666666663</v>
      </c>
      <c r="J58" s="101" t="s">
        <v>34</v>
      </c>
      <c r="K58" s="101" t="s">
        <v>276</v>
      </c>
      <c r="L58" s="104" t="s">
        <v>124</v>
      </c>
      <c r="M58" s="104" t="s">
        <v>376</v>
      </c>
      <c r="N58" s="104" t="s">
        <v>215</v>
      </c>
      <c r="O58" s="101" t="s">
        <v>241</v>
      </c>
      <c r="P58" s="128">
        <f>(MID(tDatos[[#This Row],[UTCO]],5,2)+RIGHT(tDatos[[#This Row],[UTCO]],2)/60)*IF(tDatos[[#This Row],[UTCO]]="","",IF(MID(tDatos[[#This Row],[UTCO]],4,1)="+",1,-1))</f>
        <v>-4</v>
      </c>
      <c r="Q58" s="160">
        <f>IFERROR(tDatos[[#This Row],[FECHA]]+tDatos[[#This Row],[HORA]]+(((CoefUTCD)-(tDatos[[#This Row],[CoefUTCO]]))/24),tDatos[[#This Row],[FECHA]]+tDatos[[#This Row],[HORA]])</f>
        <v>46198.791666666664</v>
      </c>
      <c r="S58" s="168">
        <v>3818</v>
      </c>
      <c r="T58" s="168" t="s">
        <v>502</v>
      </c>
      <c r="U58" s="167" t="s">
        <v>433</v>
      </c>
      <c r="V58" s="167" t="s">
        <v>432</v>
      </c>
      <c r="W58" s="167" t="s">
        <v>427</v>
      </c>
      <c r="X58" s="167" t="s">
        <v>429</v>
      </c>
      <c r="Y58" s="167" t="s">
        <v>435</v>
      </c>
      <c r="Z58" s="167" t="s">
        <v>431</v>
      </c>
      <c r="AA58" s="167" t="s">
        <v>437</v>
      </c>
      <c r="AB58" s="169" t="s">
        <v>436</v>
      </c>
    </row>
    <row r="59" spans="1:28" ht="23.25" customHeight="1" x14ac:dyDescent="0.25">
      <c r="F59" s="101">
        <v>58</v>
      </c>
      <c r="G59" s="101" t="s">
        <v>130</v>
      </c>
      <c r="H59" s="102">
        <v>46198</v>
      </c>
      <c r="I59" s="103">
        <v>0.79166666666666663</v>
      </c>
      <c r="J59" s="101" t="s">
        <v>33</v>
      </c>
      <c r="K59" s="101" t="s">
        <v>66</v>
      </c>
      <c r="L59" s="104" t="s">
        <v>124</v>
      </c>
      <c r="M59" s="104" t="s">
        <v>382</v>
      </c>
      <c r="N59" s="104" t="s">
        <v>226</v>
      </c>
      <c r="O59" s="101" t="s">
        <v>241</v>
      </c>
      <c r="P59" s="128">
        <f>(MID(tDatos[[#This Row],[UTCO]],5,2)+RIGHT(tDatos[[#This Row],[UTCO]],2)/60)*IF(tDatos[[#This Row],[UTCO]]="","",IF(MID(tDatos[[#This Row],[UTCO]],4,1)="+",1,-1))</f>
        <v>-4</v>
      </c>
      <c r="Q59" s="160">
        <f>IFERROR(tDatos[[#This Row],[FECHA]]+tDatos[[#This Row],[HORA]]+(((CoefUTCD)-(tDatos[[#This Row],[CoefUTCO]]))/24),tDatos[[#This Row],[FECHA]]+tDatos[[#This Row],[HORA]])</f>
        <v>46198.791666666664</v>
      </c>
      <c r="S59" s="168">
        <v>3562</v>
      </c>
      <c r="T59" s="168" t="s">
        <v>503</v>
      </c>
      <c r="U59" s="167" t="s">
        <v>433</v>
      </c>
      <c r="V59" s="167" t="s">
        <v>432</v>
      </c>
      <c r="W59" s="167" t="s">
        <v>427</v>
      </c>
      <c r="X59" s="167" t="s">
        <v>429</v>
      </c>
      <c r="Y59" s="167" t="s">
        <v>434</v>
      </c>
      <c r="Z59" s="167" t="s">
        <v>431</v>
      </c>
      <c r="AA59" s="167" t="s">
        <v>437</v>
      </c>
      <c r="AB59" s="169" t="s">
        <v>436</v>
      </c>
    </row>
    <row r="60" spans="1:28" ht="23.25" customHeight="1" x14ac:dyDescent="0.25">
      <c r="F60" s="101">
        <v>59</v>
      </c>
      <c r="G60" s="101" t="s">
        <v>130</v>
      </c>
      <c r="H60" s="102">
        <v>46198</v>
      </c>
      <c r="I60" s="103">
        <v>0.91666666666666663</v>
      </c>
      <c r="J60" s="101" t="s">
        <v>275</v>
      </c>
      <c r="K60" s="101" t="s">
        <v>69</v>
      </c>
      <c r="L60" s="104" t="s">
        <v>121</v>
      </c>
      <c r="M60" s="104" t="s">
        <v>369</v>
      </c>
      <c r="N60" s="104" t="s">
        <v>383</v>
      </c>
      <c r="O60" s="101" t="s">
        <v>241</v>
      </c>
      <c r="P60" s="128">
        <f>(MID(tDatos[[#This Row],[UTCO]],5,2)+RIGHT(tDatos[[#This Row],[UTCO]],2)/60)*IF(tDatos[[#This Row],[UTCO]]="","",IF(MID(tDatos[[#This Row],[UTCO]],4,1)="+",1,-1))</f>
        <v>-4</v>
      </c>
      <c r="Q60" s="160">
        <f>IFERROR(tDatos[[#This Row],[FECHA]]+tDatos[[#This Row],[HORA]]+(((CoefUTCD)-(tDatos[[#This Row],[CoefUTCO]]))/24),tDatos[[#This Row],[FECHA]]+tDatos[[#This Row],[HORA]])</f>
        <v>46198.916666666664</v>
      </c>
      <c r="S60" s="168">
        <v>3050</v>
      </c>
      <c r="T60" s="168" t="s">
        <v>504</v>
      </c>
      <c r="U60" s="167" t="s">
        <v>433</v>
      </c>
      <c r="V60" s="167" t="s">
        <v>432</v>
      </c>
      <c r="W60" s="167" t="s">
        <v>427</v>
      </c>
      <c r="X60" s="167" t="s">
        <v>429</v>
      </c>
      <c r="Y60" s="167" t="s">
        <v>435</v>
      </c>
      <c r="Z60" s="167" t="s">
        <v>431</v>
      </c>
      <c r="AA60" s="167" t="s">
        <v>437</v>
      </c>
      <c r="AB60" s="169" t="s">
        <v>434</v>
      </c>
    </row>
    <row r="61" spans="1:28" ht="23.25" customHeight="1" x14ac:dyDescent="0.25">
      <c r="F61" s="101">
        <v>60</v>
      </c>
      <c r="G61" s="101" t="s">
        <v>130</v>
      </c>
      <c r="H61" s="102">
        <v>46198</v>
      </c>
      <c r="I61" s="103">
        <v>0.91666666666666663</v>
      </c>
      <c r="J61" s="101" t="s">
        <v>208</v>
      </c>
      <c r="K61" s="101" t="s">
        <v>12</v>
      </c>
      <c r="L61" s="104" t="s">
        <v>121</v>
      </c>
      <c r="M61" s="104" t="s">
        <v>374</v>
      </c>
      <c r="N61" s="104" t="s">
        <v>268</v>
      </c>
      <c r="O61" s="101" t="s">
        <v>241</v>
      </c>
      <c r="P61" s="128">
        <f>(MID(tDatos[[#This Row],[UTCO]],5,2)+RIGHT(tDatos[[#This Row],[UTCO]],2)/60)*IF(tDatos[[#This Row],[UTCO]]="","",IF(MID(tDatos[[#This Row],[UTCO]],4,1)="+",1,-1))</f>
        <v>-4</v>
      </c>
      <c r="Q61" s="160">
        <f>IFERROR(tDatos[[#This Row],[FECHA]]+tDatos[[#This Row],[HORA]]+(((CoefUTCD)-(tDatos[[#This Row],[CoefUTCO]]))/24),tDatos[[#This Row],[FECHA]]+tDatos[[#This Row],[HORA]])</f>
        <v>46198.916666666664</v>
      </c>
      <c r="S61" s="168">
        <v>2026</v>
      </c>
      <c r="T61" s="168" t="s">
        <v>505</v>
      </c>
      <c r="U61" s="167" t="s">
        <v>433</v>
      </c>
      <c r="V61" s="167" t="s">
        <v>432</v>
      </c>
      <c r="W61" s="167" t="s">
        <v>427</v>
      </c>
      <c r="X61" s="167" t="s">
        <v>429</v>
      </c>
      <c r="Y61" s="167" t="s">
        <v>435</v>
      </c>
      <c r="Z61" s="167" t="s">
        <v>431</v>
      </c>
      <c r="AA61" s="167" t="s">
        <v>434</v>
      </c>
      <c r="AB61" s="169" t="s">
        <v>436</v>
      </c>
    </row>
    <row r="62" spans="1:28" ht="23.25" customHeight="1" x14ac:dyDescent="0.25">
      <c r="F62" s="101">
        <v>61</v>
      </c>
      <c r="G62" s="101" t="s">
        <v>118</v>
      </c>
      <c r="H62" s="102">
        <v>46199</v>
      </c>
      <c r="I62" s="103">
        <v>0.625</v>
      </c>
      <c r="J62" s="101" t="s">
        <v>224</v>
      </c>
      <c r="K62" s="101" t="s">
        <v>17</v>
      </c>
      <c r="L62" s="104" t="s">
        <v>115</v>
      </c>
      <c r="M62" s="104" t="s">
        <v>371</v>
      </c>
      <c r="N62" s="104" t="s">
        <v>212</v>
      </c>
      <c r="O62" s="101" t="s">
        <v>241</v>
      </c>
      <c r="P62" s="128">
        <f>(MID(tDatos[[#This Row],[UTCO]],5,2)+RIGHT(tDatos[[#This Row],[UTCO]],2)/60)*IF(tDatos[[#This Row],[UTCO]]="","",IF(MID(tDatos[[#This Row],[UTCO]],4,1)="+",1,-1))</f>
        <v>-4</v>
      </c>
      <c r="Q62" s="160">
        <f>IFERROR(tDatos[[#This Row],[FECHA]]+tDatos[[#This Row],[HORA]]+(((CoefUTCD)-(tDatos[[#This Row],[CoefUTCO]]))/24),tDatos[[#This Row],[FECHA]]+tDatos[[#This Row],[HORA]])</f>
        <v>46199.625</v>
      </c>
      <c r="S62" s="168">
        <v>3994</v>
      </c>
      <c r="T62" s="168" t="s">
        <v>506</v>
      </c>
      <c r="U62" s="167" t="s">
        <v>430</v>
      </c>
      <c r="V62" s="167" t="s">
        <v>435</v>
      </c>
      <c r="W62" s="167" t="s">
        <v>427</v>
      </c>
      <c r="X62" s="167" t="s">
        <v>429</v>
      </c>
      <c r="Y62" s="167" t="s">
        <v>434</v>
      </c>
      <c r="Z62" s="167" t="s">
        <v>433</v>
      </c>
      <c r="AA62" s="167" t="s">
        <v>437</v>
      </c>
      <c r="AB62" s="169" t="s">
        <v>436</v>
      </c>
    </row>
    <row r="63" spans="1:28" ht="23.25" customHeight="1" x14ac:dyDescent="0.25">
      <c r="F63" s="101">
        <v>62</v>
      </c>
      <c r="G63" s="101" t="s">
        <v>118</v>
      </c>
      <c r="H63" s="102">
        <v>46199</v>
      </c>
      <c r="I63" s="103">
        <v>0.625</v>
      </c>
      <c r="J63" s="101" t="s">
        <v>35</v>
      </c>
      <c r="K63" s="101" t="s">
        <v>284</v>
      </c>
      <c r="L63" s="104" t="s">
        <v>115</v>
      </c>
      <c r="M63" s="104" t="s">
        <v>368</v>
      </c>
      <c r="N63" s="104" t="s">
        <v>207</v>
      </c>
      <c r="O63" s="101" t="s">
        <v>241</v>
      </c>
      <c r="P63" s="128">
        <f>(MID(tDatos[[#This Row],[UTCO]],5,2)+RIGHT(tDatos[[#This Row],[UTCO]],2)/60)*IF(tDatos[[#This Row],[UTCO]]="","",IF(MID(tDatos[[#This Row],[UTCO]],4,1)="+",1,-1))</f>
        <v>-4</v>
      </c>
      <c r="Q63" s="160">
        <f>IFERROR(tDatos[[#This Row],[FECHA]]+tDatos[[#This Row],[HORA]]+(((CoefUTCD)-(tDatos[[#This Row],[CoefUTCO]]))/24),tDatos[[#This Row],[FECHA]]+tDatos[[#This Row],[HORA]])</f>
        <v>46199.625</v>
      </c>
      <c r="S63" s="168">
        <v>3930</v>
      </c>
      <c r="T63" s="168" t="s">
        <v>507</v>
      </c>
      <c r="U63" s="167" t="s">
        <v>430</v>
      </c>
      <c r="V63" s="167" t="s">
        <v>435</v>
      </c>
      <c r="W63" s="167" t="s">
        <v>427</v>
      </c>
      <c r="X63" s="167" t="s">
        <v>429</v>
      </c>
      <c r="Y63" s="167" t="s">
        <v>434</v>
      </c>
      <c r="Z63" s="167" t="s">
        <v>432</v>
      </c>
      <c r="AA63" s="167" t="s">
        <v>437</v>
      </c>
      <c r="AB63" s="169" t="s">
        <v>436</v>
      </c>
    </row>
    <row r="64" spans="1:28" ht="23.25" customHeight="1" x14ac:dyDescent="0.25">
      <c r="F64" s="101">
        <v>63</v>
      </c>
      <c r="G64" s="101" t="s">
        <v>118</v>
      </c>
      <c r="H64" s="102">
        <v>46199</v>
      </c>
      <c r="I64" s="103">
        <v>0.83333333333333337</v>
      </c>
      <c r="J64" s="101" t="s">
        <v>218</v>
      </c>
      <c r="K64" s="101" t="s">
        <v>358</v>
      </c>
      <c r="L64" s="104" t="s">
        <v>112</v>
      </c>
      <c r="M64" s="104" t="s">
        <v>375</v>
      </c>
      <c r="N64" s="104" t="s">
        <v>214</v>
      </c>
      <c r="O64" s="101" t="s">
        <v>241</v>
      </c>
      <c r="P64" s="128">
        <f>(MID(tDatos[[#This Row],[UTCO]],5,2)+RIGHT(tDatos[[#This Row],[UTCO]],2)/60)*IF(tDatos[[#This Row],[UTCO]]="","",IF(MID(tDatos[[#This Row],[UTCO]],4,1)="+",1,-1))</f>
        <v>-4</v>
      </c>
      <c r="Q64" s="160">
        <f>IFERROR(tDatos[[#This Row],[FECHA]]+tDatos[[#This Row],[HORA]]+(((CoefUTCD)-(tDatos[[#This Row],[CoefUTCO]]))/24),tDatos[[#This Row],[FECHA]]+tDatos[[#This Row],[HORA]])</f>
        <v>46199.833333333336</v>
      </c>
      <c r="S64" s="168">
        <v>3802</v>
      </c>
      <c r="T64" s="168" t="s">
        <v>508</v>
      </c>
      <c r="U64" s="167" t="s">
        <v>430</v>
      </c>
      <c r="V64" s="167" t="s">
        <v>435</v>
      </c>
      <c r="W64" s="167" t="s">
        <v>427</v>
      </c>
      <c r="X64" s="167" t="s">
        <v>429</v>
      </c>
      <c r="Y64" s="167" t="s">
        <v>433</v>
      </c>
      <c r="Z64" s="167" t="s">
        <v>432</v>
      </c>
      <c r="AA64" s="167" t="s">
        <v>437</v>
      </c>
      <c r="AB64" s="169" t="s">
        <v>436</v>
      </c>
    </row>
    <row r="65" spans="6:28" ht="23.25" customHeight="1" x14ac:dyDescent="0.25">
      <c r="F65" s="101">
        <v>64</v>
      </c>
      <c r="G65" s="101" t="s">
        <v>118</v>
      </c>
      <c r="H65" s="102">
        <v>46199</v>
      </c>
      <c r="I65" s="103">
        <v>0.83333333333333337</v>
      </c>
      <c r="J65" s="101" t="s">
        <v>14</v>
      </c>
      <c r="K65" s="101" t="s">
        <v>13</v>
      </c>
      <c r="L65" s="104" t="s">
        <v>112</v>
      </c>
      <c r="M65" s="104" t="s">
        <v>367</v>
      </c>
      <c r="N65" s="104" t="s">
        <v>206</v>
      </c>
      <c r="O65" s="101" t="s">
        <v>241</v>
      </c>
      <c r="P65" s="128">
        <f>(MID(tDatos[[#This Row],[UTCO]],5,2)+RIGHT(tDatos[[#This Row],[UTCO]],2)/60)*IF(tDatos[[#This Row],[UTCO]]="","",IF(MID(tDatos[[#This Row],[UTCO]],4,1)="+",1,-1))</f>
        <v>-4</v>
      </c>
      <c r="Q65" s="160">
        <f>IFERROR(tDatos[[#This Row],[FECHA]]+tDatos[[#This Row],[HORA]]+(((CoefUTCD)-(tDatos[[#This Row],[CoefUTCO]]))/24),tDatos[[#This Row],[FECHA]]+tDatos[[#This Row],[HORA]])</f>
        <v>46199.833333333336</v>
      </c>
      <c r="S65" s="168">
        <v>3546</v>
      </c>
      <c r="T65" s="168" t="s">
        <v>509</v>
      </c>
      <c r="U65" s="167" t="s">
        <v>430</v>
      </c>
      <c r="V65" s="167" t="s">
        <v>432</v>
      </c>
      <c r="W65" s="167" t="s">
        <v>427</v>
      </c>
      <c r="X65" s="167" t="s">
        <v>429</v>
      </c>
      <c r="Y65" s="167" t="s">
        <v>434</v>
      </c>
      <c r="Z65" s="167" t="s">
        <v>433</v>
      </c>
      <c r="AA65" s="167" t="s">
        <v>437</v>
      </c>
      <c r="AB65" s="169" t="s">
        <v>436</v>
      </c>
    </row>
    <row r="66" spans="6:28" ht="23.25" customHeight="1" x14ac:dyDescent="0.25">
      <c r="F66" s="101">
        <v>65</v>
      </c>
      <c r="G66" s="101" t="s">
        <v>118</v>
      </c>
      <c r="H66" s="102">
        <v>46199</v>
      </c>
      <c r="I66" s="103">
        <v>0.95833333333333337</v>
      </c>
      <c r="J66" s="101" t="s">
        <v>220</v>
      </c>
      <c r="K66" s="101" t="s">
        <v>30</v>
      </c>
      <c r="L66" s="104" t="s">
        <v>106</v>
      </c>
      <c r="M66" s="104" t="s">
        <v>380</v>
      </c>
      <c r="N66" s="104" t="s">
        <v>221</v>
      </c>
      <c r="O66" s="101" t="s">
        <v>241</v>
      </c>
      <c r="P66" s="128">
        <f>(MID(tDatos[[#This Row],[UTCO]],5,2)+RIGHT(tDatos[[#This Row],[UTCO]],2)/60)*IF(tDatos[[#This Row],[UTCO]]="","",IF(MID(tDatos[[#This Row],[UTCO]],4,1)="+",1,-1))</f>
        <v>-4</v>
      </c>
      <c r="Q66" s="160">
        <f>IFERROR(tDatos[[#This Row],[FECHA]]+tDatos[[#This Row],[HORA]]+(((CoefUTCD)-(tDatos[[#This Row],[CoefUTCO]]))/24),tDatos[[#This Row],[FECHA]]+tDatos[[#This Row],[HORA]])</f>
        <v>46199.958333333336</v>
      </c>
      <c r="S66" s="168">
        <v>3034</v>
      </c>
      <c r="T66" s="168" t="s">
        <v>510</v>
      </c>
      <c r="U66" s="167" t="s">
        <v>430</v>
      </c>
      <c r="V66" s="167" t="s">
        <v>435</v>
      </c>
      <c r="W66" s="167" t="s">
        <v>427</v>
      </c>
      <c r="X66" s="167" t="s">
        <v>429</v>
      </c>
      <c r="Y66" s="167" t="s">
        <v>433</v>
      </c>
      <c r="Z66" s="167" t="s">
        <v>432</v>
      </c>
      <c r="AA66" s="167" t="s">
        <v>437</v>
      </c>
      <c r="AB66" s="169" t="s">
        <v>434</v>
      </c>
    </row>
    <row r="67" spans="6:28" ht="23.25" customHeight="1" x14ac:dyDescent="0.25">
      <c r="F67" s="101">
        <v>66</v>
      </c>
      <c r="G67" s="101" t="s">
        <v>118</v>
      </c>
      <c r="H67" s="102">
        <v>46199</v>
      </c>
      <c r="I67" s="103">
        <v>0.95833333333333337</v>
      </c>
      <c r="J67" s="101" t="s">
        <v>223</v>
      </c>
      <c r="K67" s="101" t="s">
        <v>32</v>
      </c>
      <c r="L67" s="104" t="s">
        <v>106</v>
      </c>
      <c r="M67" s="104" t="s">
        <v>372</v>
      </c>
      <c r="N67" s="104" t="s">
        <v>269</v>
      </c>
      <c r="O67" s="101" t="s">
        <v>241</v>
      </c>
      <c r="P67" s="128">
        <f>(MID(tDatos[[#This Row],[UTCO]],5,2)+RIGHT(tDatos[[#This Row],[UTCO]],2)/60)*IF(tDatos[[#This Row],[UTCO]]="","",IF(MID(tDatos[[#This Row],[UTCO]],4,1)="+",1,-1))</f>
        <v>-4</v>
      </c>
      <c r="Q67" s="160">
        <f>IFERROR(tDatos[[#This Row],[FECHA]]+tDatos[[#This Row],[HORA]]+(((CoefUTCD)-(tDatos[[#This Row],[CoefUTCO]]))/24),tDatos[[#This Row],[FECHA]]+tDatos[[#This Row],[HORA]])</f>
        <v>46199.958333333336</v>
      </c>
      <c r="S67" s="168">
        <v>2010</v>
      </c>
      <c r="T67" s="168" t="s">
        <v>511</v>
      </c>
      <c r="U67" s="167" t="s">
        <v>430</v>
      </c>
      <c r="V67" s="167" t="s">
        <v>435</v>
      </c>
      <c r="W67" s="167" t="s">
        <v>427</v>
      </c>
      <c r="X67" s="167" t="s">
        <v>429</v>
      </c>
      <c r="Y67" s="167" t="s">
        <v>433</v>
      </c>
      <c r="Z67" s="167" t="s">
        <v>432</v>
      </c>
      <c r="AA67" s="167" t="s">
        <v>434</v>
      </c>
      <c r="AB67" s="169" t="s">
        <v>436</v>
      </c>
    </row>
    <row r="68" spans="6:28" ht="23.25" customHeight="1" x14ac:dyDescent="0.25">
      <c r="F68" s="101">
        <v>67</v>
      </c>
      <c r="G68" s="101" t="s">
        <v>109</v>
      </c>
      <c r="H68" s="102">
        <v>46200</v>
      </c>
      <c r="I68" s="103">
        <v>0.70833333333333337</v>
      </c>
      <c r="J68" s="101" t="s">
        <v>228</v>
      </c>
      <c r="K68" s="101" t="s">
        <v>15</v>
      </c>
      <c r="L68" s="104" t="s">
        <v>101</v>
      </c>
      <c r="M68" s="104" t="s">
        <v>370</v>
      </c>
      <c r="N68" s="104" t="s">
        <v>209</v>
      </c>
      <c r="O68" s="101" t="s">
        <v>241</v>
      </c>
      <c r="P68" s="128">
        <f>(MID(tDatos[[#This Row],[UTCO]],5,2)+RIGHT(tDatos[[#This Row],[UTCO]],2)/60)*IF(tDatos[[#This Row],[UTCO]]="","",IF(MID(tDatos[[#This Row],[UTCO]],4,1)="+",1,-1))</f>
        <v>-4</v>
      </c>
      <c r="Q68" s="160">
        <f>IFERROR(tDatos[[#This Row],[FECHA]]+tDatos[[#This Row],[HORA]]+(((CoefUTCD)-(tDatos[[#This Row],[CoefUTCO]]))/24),tDatos[[#This Row],[FECHA]]+tDatos[[#This Row],[HORA]])</f>
        <v>46200.708333333336</v>
      </c>
      <c r="S68" s="168">
        <v>3898</v>
      </c>
      <c r="T68" s="168" t="s">
        <v>512</v>
      </c>
      <c r="U68" s="167" t="s">
        <v>430</v>
      </c>
      <c r="V68" s="167" t="s">
        <v>435</v>
      </c>
      <c r="W68" s="167" t="s">
        <v>427</v>
      </c>
      <c r="X68" s="167" t="s">
        <v>429</v>
      </c>
      <c r="Y68" s="167" t="s">
        <v>434</v>
      </c>
      <c r="Z68" s="167" t="s">
        <v>431</v>
      </c>
      <c r="AA68" s="167" t="s">
        <v>437</v>
      </c>
      <c r="AB68" s="169" t="s">
        <v>436</v>
      </c>
    </row>
    <row r="69" spans="6:28" ht="23.25" customHeight="1" x14ac:dyDescent="0.25">
      <c r="F69" s="101">
        <v>68</v>
      </c>
      <c r="G69" s="101" t="s">
        <v>109</v>
      </c>
      <c r="H69" s="102">
        <v>46200</v>
      </c>
      <c r="I69" s="103">
        <v>0.70833333333333337</v>
      </c>
      <c r="J69" s="101" t="s">
        <v>11</v>
      </c>
      <c r="K69" s="101" t="s">
        <v>68</v>
      </c>
      <c r="L69" s="104" t="s">
        <v>101</v>
      </c>
      <c r="M69" s="104" t="s">
        <v>377</v>
      </c>
      <c r="N69" s="104" t="s">
        <v>216</v>
      </c>
      <c r="O69" s="101" t="s">
        <v>241</v>
      </c>
      <c r="P69" s="128">
        <f>(MID(tDatos[[#This Row],[UTCO]],5,2)+RIGHT(tDatos[[#This Row],[UTCO]],2)/60)*IF(tDatos[[#This Row],[UTCO]]="","",IF(MID(tDatos[[#This Row],[UTCO]],4,1)="+",1,-1))</f>
        <v>-4</v>
      </c>
      <c r="Q69" s="160">
        <f>IFERROR(tDatos[[#This Row],[FECHA]]+tDatos[[#This Row],[HORA]]+(((CoefUTCD)-(tDatos[[#This Row],[CoefUTCO]]))/24),tDatos[[#This Row],[FECHA]]+tDatos[[#This Row],[HORA]])</f>
        <v>46200.708333333336</v>
      </c>
      <c r="S69" s="168">
        <v>3770</v>
      </c>
      <c r="T69" s="168" t="s">
        <v>513</v>
      </c>
      <c r="U69" s="167" t="s">
        <v>430</v>
      </c>
      <c r="V69" s="167" t="s">
        <v>435</v>
      </c>
      <c r="W69" s="167" t="s">
        <v>427</v>
      </c>
      <c r="X69" s="167" t="s">
        <v>429</v>
      </c>
      <c r="Y69" s="167" t="s">
        <v>433</v>
      </c>
      <c r="Z69" s="167" t="s">
        <v>431</v>
      </c>
      <c r="AA69" s="167" t="s">
        <v>437</v>
      </c>
      <c r="AB69" s="169" t="s">
        <v>436</v>
      </c>
    </row>
    <row r="70" spans="6:28" ht="23.25" customHeight="1" x14ac:dyDescent="0.25">
      <c r="F70" s="101">
        <v>69</v>
      </c>
      <c r="G70" s="101" t="s">
        <v>109</v>
      </c>
      <c r="H70" s="102">
        <v>46200</v>
      </c>
      <c r="I70" s="103">
        <v>0.8125</v>
      </c>
      <c r="J70" s="101" t="s">
        <v>230</v>
      </c>
      <c r="K70" s="101" t="s">
        <v>20</v>
      </c>
      <c r="L70" s="104" t="s">
        <v>96</v>
      </c>
      <c r="M70" s="104" t="s">
        <v>381</v>
      </c>
      <c r="N70" s="104" t="s">
        <v>222</v>
      </c>
      <c r="O70" s="101" t="s">
        <v>241</v>
      </c>
      <c r="P70" s="128">
        <f>(MID(tDatos[[#This Row],[UTCO]],5,2)+RIGHT(tDatos[[#This Row],[UTCO]],2)/60)*IF(tDatos[[#This Row],[UTCO]]="","",IF(MID(tDatos[[#This Row],[UTCO]],4,1)="+",1,-1))</f>
        <v>-4</v>
      </c>
      <c r="Q70" s="160">
        <f>IFERROR(tDatos[[#This Row],[FECHA]]+tDatos[[#This Row],[HORA]]+(((CoefUTCD)-(tDatos[[#This Row],[CoefUTCO]]))/24),tDatos[[#This Row],[FECHA]]+tDatos[[#This Row],[HORA]])</f>
        <v>46200.8125</v>
      </c>
      <c r="S70" s="168">
        <v>3514</v>
      </c>
      <c r="T70" s="168" t="s">
        <v>514</v>
      </c>
      <c r="U70" s="167" t="s">
        <v>430</v>
      </c>
      <c r="V70" s="167" t="s">
        <v>434</v>
      </c>
      <c r="W70" s="167" t="s">
        <v>427</v>
      </c>
      <c r="X70" s="167" t="s">
        <v>429</v>
      </c>
      <c r="Y70" s="167" t="s">
        <v>433</v>
      </c>
      <c r="Z70" s="167" t="s">
        <v>431</v>
      </c>
      <c r="AA70" s="167" t="s">
        <v>437</v>
      </c>
      <c r="AB70" s="169" t="s">
        <v>436</v>
      </c>
    </row>
    <row r="71" spans="6:28" ht="23.25" customHeight="1" x14ac:dyDescent="0.25">
      <c r="F71" s="101">
        <v>70</v>
      </c>
      <c r="G71" s="101" t="s">
        <v>109</v>
      </c>
      <c r="H71" s="102">
        <v>46200</v>
      </c>
      <c r="I71" s="103">
        <v>0.8125</v>
      </c>
      <c r="J71" s="101" t="s">
        <v>359</v>
      </c>
      <c r="K71" s="101" t="s">
        <v>229</v>
      </c>
      <c r="L71" s="104" t="s">
        <v>96</v>
      </c>
      <c r="M71" s="104" t="s">
        <v>379</v>
      </c>
      <c r="N71" s="104" t="s">
        <v>219</v>
      </c>
      <c r="O71" s="101" t="s">
        <v>241</v>
      </c>
      <c r="P71" s="128">
        <f>(MID(tDatos[[#This Row],[UTCO]],5,2)+RIGHT(tDatos[[#This Row],[UTCO]],2)/60)*IF(tDatos[[#This Row],[UTCO]]="","",IF(MID(tDatos[[#This Row],[UTCO]],4,1)="+",1,-1))</f>
        <v>-4</v>
      </c>
      <c r="Q71" s="160">
        <f>IFERROR(tDatos[[#This Row],[FECHA]]+tDatos[[#This Row],[HORA]]+(((CoefUTCD)-(tDatos[[#This Row],[CoefUTCO]]))/24),tDatos[[#This Row],[FECHA]]+tDatos[[#This Row],[HORA]])</f>
        <v>46200.8125</v>
      </c>
      <c r="S71" s="168">
        <v>3002</v>
      </c>
      <c r="T71" s="168" t="s">
        <v>515</v>
      </c>
      <c r="U71" s="167" t="s">
        <v>430</v>
      </c>
      <c r="V71" s="167" t="s">
        <v>435</v>
      </c>
      <c r="W71" s="167" t="s">
        <v>427</v>
      </c>
      <c r="X71" s="167" t="s">
        <v>429</v>
      </c>
      <c r="Y71" s="167" t="s">
        <v>433</v>
      </c>
      <c r="Z71" s="167" t="s">
        <v>431</v>
      </c>
      <c r="AA71" s="167" t="s">
        <v>437</v>
      </c>
      <c r="AB71" s="169" t="s">
        <v>434</v>
      </c>
    </row>
    <row r="72" spans="6:28" ht="23.25" customHeight="1" x14ac:dyDescent="0.25">
      <c r="F72" s="101">
        <v>71</v>
      </c>
      <c r="G72" s="101" t="s">
        <v>109</v>
      </c>
      <c r="H72" s="102">
        <v>46200</v>
      </c>
      <c r="I72" s="103">
        <v>0.91666666666666663</v>
      </c>
      <c r="J72" s="101" t="s">
        <v>225</v>
      </c>
      <c r="K72" s="101" t="s">
        <v>227</v>
      </c>
      <c r="L72" s="104" t="s">
        <v>92</v>
      </c>
      <c r="M72" s="104" t="s">
        <v>382</v>
      </c>
      <c r="N72" s="104" t="s">
        <v>226</v>
      </c>
      <c r="O72" s="101" t="s">
        <v>241</v>
      </c>
      <c r="P72" s="128">
        <f>(MID(tDatos[[#This Row],[UTCO]],5,2)+RIGHT(tDatos[[#This Row],[UTCO]],2)/60)*IF(tDatos[[#This Row],[UTCO]]="","",IF(MID(tDatos[[#This Row],[UTCO]],4,1)="+",1,-1))</f>
        <v>-4</v>
      </c>
      <c r="Q72" s="160">
        <f>IFERROR(tDatos[[#This Row],[FECHA]]+tDatos[[#This Row],[HORA]]+(((CoefUTCD)-(tDatos[[#This Row],[CoefUTCO]]))/24),tDatos[[#This Row],[FECHA]]+tDatos[[#This Row],[HORA]])</f>
        <v>46200.916666666664</v>
      </c>
      <c r="S72" s="168">
        <v>1978</v>
      </c>
      <c r="T72" s="168" t="s">
        <v>516</v>
      </c>
      <c r="U72" s="167" t="s">
        <v>430</v>
      </c>
      <c r="V72" s="167" t="s">
        <v>435</v>
      </c>
      <c r="W72" s="167" t="s">
        <v>427</v>
      </c>
      <c r="X72" s="167" t="s">
        <v>429</v>
      </c>
      <c r="Y72" s="167" t="s">
        <v>433</v>
      </c>
      <c r="Z72" s="167" t="s">
        <v>431</v>
      </c>
      <c r="AA72" s="167" t="s">
        <v>434</v>
      </c>
      <c r="AB72" s="169" t="s">
        <v>436</v>
      </c>
    </row>
    <row r="73" spans="6:28" ht="23.25" customHeight="1" x14ac:dyDescent="0.25">
      <c r="F73" s="105">
        <v>72</v>
      </c>
      <c r="G73" s="105" t="s">
        <v>109</v>
      </c>
      <c r="H73" s="106">
        <v>46200</v>
      </c>
      <c r="I73" s="107">
        <v>0.91666666666666663</v>
      </c>
      <c r="J73" s="105" t="s">
        <v>231</v>
      </c>
      <c r="K73" s="105" t="s">
        <v>18</v>
      </c>
      <c r="L73" s="108" t="s">
        <v>92</v>
      </c>
      <c r="M73" s="108" t="s">
        <v>376</v>
      </c>
      <c r="N73" s="108" t="s">
        <v>215</v>
      </c>
      <c r="O73" s="101" t="s">
        <v>241</v>
      </c>
      <c r="P73" s="128">
        <f>(MID(tDatos[[#This Row],[UTCO]],5,2)+RIGHT(tDatos[[#This Row],[UTCO]],2)/60)*IF(tDatos[[#This Row],[UTCO]]="","",IF(MID(tDatos[[#This Row],[UTCO]],4,1)="+",1,-1))</f>
        <v>-4</v>
      </c>
      <c r="Q73" s="160">
        <f>IFERROR(tDatos[[#This Row],[FECHA]]+tDatos[[#This Row],[HORA]]+(((CoefUTCD)-(tDatos[[#This Row],[CoefUTCO]]))/24),tDatos[[#This Row],[FECHA]]+tDatos[[#This Row],[HORA]])</f>
        <v>46200.916666666664</v>
      </c>
      <c r="S73" s="168">
        <v>3706</v>
      </c>
      <c r="T73" s="168" t="s">
        <v>517</v>
      </c>
      <c r="U73" s="167" t="s">
        <v>430</v>
      </c>
      <c r="V73" s="167" t="s">
        <v>432</v>
      </c>
      <c r="W73" s="167" t="s">
        <v>427</v>
      </c>
      <c r="X73" s="167" t="s">
        <v>429</v>
      </c>
      <c r="Y73" s="167" t="s">
        <v>435</v>
      </c>
      <c r="Z73" s="167" t="s">
        <v>431</v>
      </c>
      <c r="AA73" s="167" t="s">
        <v>437</v>
      </c>
      <c r="AB73" s="169" t="s">
        <v>436</v>
      </c>
    </row>
    <row r="74" spans="6:28" ht="23.25" customHeight="1" x14ac:dyDescent="0.25">
      <c r="F74" s="101">
        <v>73</v>
      </c>
      <c r="G74" s="158" t="s">
        <v>401</v>
      </c>
      <c r="H74" s="102">
        <v>46201</v>
      </c>
      <c r="I74" s="103">
        <v>0.625</v>
      </c>
      <c r="J74" s="161" t="str">
        <f>SegundoA</f>
        <v>SUDÁFRICA</v>
      </c>
      <c r="K74" s="161" t="str">
        <f>SegundoB</f>
        <v>CANADÁ</v>
      </c>
      <c r="L74" s="104" t="s">
        <v>396</v>
      </c>
      <c r="M74" s="104" t="s">
        <v>369</v>
      </c>
      <c r="N74" s="104" t="s">
        <v>383</v>
      </c>
      <c r="O74" s="101" t="s">
        <v>241</v>
      </c>
      <c r="P74" s="128">
        <f>(MID(tDatos[[#This Row],[UTCO]],5,2)+RIGHT(tDatos[[#This Row],[UTCO]],2)/60)*IF(tDatos[[#This Row],[UTCO]]="","",IF(MID(tDatos[[#This Row],[UTCO]],4,1)="+",1,-1))</f>
        <v>-4</v>
      </c>
      <c r="Q74" s="162">
        <f>IFERROR(tDatos[[#This Row],[FECHA]]+tDatos[[#This Row],[HORA]]+(((CoefUTCD)-(tDatos[[#This Row],[CoefUTCO]]))/24),tDatos[[#This Row],[FECHA]]+tDatos[[#This Row],[HORA]])</f>
        <v>46201.625</v>
      </c>
      <c r="S74" s="168">
        <v>3450</v>
      </c>
      <c r="T74" s="168" t="s">
        <v>518</v>
      </c>
      <c r="U74" s="167" t="s">
        <v>430</v>
      </c>
      <c r="V74" s="167" t="s">
        <v>432</v>
      </c>
      <c r="W74" s="167" t="s">
        <v>427</v>
      </c>
      <c r="X74" s="167" t="s">
        <v>429</v>
      </c>
      <c r="Y74" s="167" t="s">
        <v>434</v>
      </c>
      <c r="Z74" s="167" t="s">
        <v>431</v>
      </c>
      <c r="AA74" s="167" t="s">
        <v>437</v>
      </c>
      <c r="AB74" s="169" t="s">
        <v>436</v>
      </c>
    </row>
    <row r="75" spans="6:28" ht="23.25" customHeight="1" x14ac:dyDescent="0.25">
      <c r="F75" s="101">
        <v>74</v>
      </c>
      <c r="G75" s="158" t="s">
        <v>402</v>
      </c>
      <c r="H75" s="102">
        <v>46202</v>
      </c>
      <c r="I75" s="103">
        <v>0.54166666666424135</v>
      </c>
      <c r="J75" s="161" t="str">
        <f>PrimeroC</f>
        <v>BRASIL</v>
      </c>
      <c r="K75" s="161" t="str">
        <f>SegundoF</f>
        <v>JAPÓN</v>
      </c>
      <c r="L75" s="104" t="s">
        <v>396</v>
      </c>
      <c r="M75" s="104" t="s">
        <v>375</v>
      </c>
      <c r="N75" s="104" t="s">
        <v>214</v>
      </c>
      <c r="O75" s="101" t="s">
        <v>241</v>
      </c>
      <c r="P75" s="128">
        <f>(MID(tDatos[[#This Row],[UTCO]],5,2)+RIGHT(tDatos[[#This Row],[UTCO]],2)/60)*IF(tDatos[[#This Row],[UTCO]]="","",IF(MID(tDatos[[#This Row],[UTCO]],4,1)="+",1,-1))</f>
        <v>-4</v>
      </c>
      <c r="Q75" s="162">
        <f>IFERROR(tDatos[[#This Row],[FECHA]]+tDatos[[#This Row],[HORA]]+(((CoefUTCD)-(tDatos[[#This Row],[CoefUTCO]]))/24),tDatos[[#This Row],[FECHA]]+tDatos[[#This Row],[HORA]])</f>
        <v>46202.541666666664</v>
      </c>
      <c r="S75" s="168">
        <v>2938</v>
      </c>
      <c r="T75" s="168" t="s">
        <v>519</v>
      </c>
      <c r="U75" s="167" t="s">
        <v>430</v>
      </c>
      <c r="V75" s="167" t="s">
        <v>432</v>
      </c>
      <c r="W75" s="167" t="s">
        <v>427</v>
      </c>
      <c r="X75" s="167" t="s">
        <v>429</v>
      </c>
      <c r="Y75" s="167" t="s">
        <v>435</v>
      </c>
      <c r="Z75" s="167" t="s">
        <v>431</v>
      </c>
      <c r="AA75" s="167" t="s">
        <v>437</v>
      </c>
      <c r="AB75" s="169" t="s">
        <v>434</v>
      </c>
    </row>
    <row r="76" spans="6:28" ht="23.25" customHeight="1" x14ac:dyDescent="0.25">
      <c r="F76" s="101">
        <v>75</v>
      </c>
      <c r="G76" s="158" t="s">
        <v>402</v>
      </c>
      <c r="H76" s="102">
        <v>46202</v>
      </c>
      <c r="I76" s="103">
        <v>0.6875</v>
      </c>
      <c r="J76" s="161" t="str">
        <f>PrimeroE</f>
        <v>ALEMANIA</v>
      </c>
      <c r="K76" s="161" t="str">
        <f>INDEX(Dieciseisavos!$U$10:$Y$69,MATCH(VLOOKUP(claveN,tMT[],6,0),Dieciseisavos!$Y$10:$Y$69,0),1)</f>
        <v>PARAGUAY</v>
      </c>
      <c r="L76" s="104" t="s">
        <v>396</v>
      </c>
      <c r="M76" s="104" t="s">
        <v>371</v>
      </c>
      <c r="N76" s="104" t="s">
        <v>212</v>
      </c>
      <c r="O76" s="101" t="s">
        <v>241</v>
      </c>
      <c r="P76" s="128">
        <f>(MID(tDatos[[#This Row],[UTCO]],5,2)+RIGHT(tDatos[[#This Row],[UTCO]],2)/60)*IF(tDatos[[#This Row],[UTCO]]="","",IF(MID(tDatos[[#This Row],[UTCO]],4,1)="+",1,-1))</f>
        <v>-4</v>
      </c>
      <c r="Q76" s="162">
        <f>IFERROR(tDatos[[#This Row],[FECHA]]+tDatos[[#This Row],[HORA]]+(((CoefUTCD)-(tDatos[[#This Row],[CoefUTCO]]))/24),tDatos[[#This Row],[FECHA]]+tDatos[[#This Row],[HORA]])</f>
        <v>46202.6875</v>
      </c>
      <c r="S76" s="168">
        <v>1914</v>
      </c>
      <c r="T76" s="168" t="s">
        <v>520</v>
      </c>
      <c r="U76" s="167" t="s">
        <v>430</v>
      </c>
      <c r="V76" s="167" t="s">
        <v>432</v>
      </c>
      <c r="W76" s="167" t="s">
        <v>427</v>
      </c>
      <c r="X76" s="167" t="s">
        <v>429</v>
      </c>
      <c r="Y76" s="167" t="s">
        <v>435</v>
      </c>
      <c r="Z76" s="167" t="s">
        <v>431</v>
      </c>
      <c r="AA76" s="167" t="s">
        <v>434</v>
      </c>
      <c r="AB76" s="169" t="s">
        <v>436</v>
      </c>
    </row>
    <row r="77" spans="6:28" ht="23.25" customHeight="1" x14ac:dyDescent="0.25">
      <c r="F77" s="101">
        <v>76</v>
      </c>
      <c r="G77" s="158" t="s">
        <v>402</v>
      </c>
      <c r="H77" s="102">
        <v>46202</v>
      </c>
      <c r="I77" s="103">
        <v>0.875</v>
      </c>
      <c r="J77" s="161" t="str">
        <f>PrimeroF</f>
        <v>PAÍSES BAJOS</v>
      </c>
      <c r="K77" s="161" t="str">
        <f>SegundoC</f>
        <v>MARRUECOS</v>
      </c>
      <c r="L77" s="104" t="s">
        <v>396</v>
      </c>
      <c r="M77" s="104" t="s">
        <v>378</v>
      </c>
      <c r="N77" s="104" t="s">
        <v>217</v>
      </c>
      <c r="O77" s="101" t="s">
        <v>241</v>
      </c>
      <c r="P77" s="128">
        <f>(MID(tDatos[[#This Row],[UTCO]],5,2)+RIGHT(tDatos[[#This Row],[UTCO]],2)/60)*IF(tDatos[[#This Row],[UTCO]]="","",IF(MID(tDatos[[#This Row],[UTCO]],4,1)="+",1,-1))</f>
        <v>-4</v>
      </c>
      <c r="Q77" s="162">
        <f>IFERROR(tDatos[[#This Row],[FECHA]]+tDatos[[#This Row],[HORA]]+(((CoefUTCD)-(tDatos[[#This Row],[CoefUTCO]]))/24),tDatos[[#This Row],[FECHA]]+tDatos[[#This Row],[HORA]])</f>
        <v>46202.875</v>
      </c>
      <c r="S77" s="168">
        <v>3322</v>
      </c>
      <c r="T77" s="168" t="s">
        <v>521</v>
      </c>
      <c r="U77" s="167" t="s">
        <v>430</v>
      </c>
      <c r="V77" s="167" t="s">
        <v>432</v>
      </c>
      <c r="W77" s="167" t="s">
        <v>427</v>
      </c>
      <c r="X77" s="167" t="s">
        <v>429</v>
      </c>
      <c r="Y77" s="167" t="s">
        <v>433</v>
      </c>
      <c r="Z77" s="167" t="s">
        <v>431</v>
      </c>
      <c r="AA77" s="167" t="s">
        <v>437</v>
      </c>
      <c r="AB77" s="169" t="s">
        <v>436</v>
      </c>
    </row>
    <row r="78" spans="6:28" ht="23.25" customHeight="1" x14ac:dyDescent="0.25">
      <c r="F78" s="101">
        <v>77</v>
      </c>
      <c r="G78" s="158" t="s">
        <v>403</v>
      </c>
      <c r="H78" s="102">
        <v>46203</v>
      </c>
      <c r="I78" s="103">
        <v>0.54166666666424135</v>
      </c>
      <c r="J78" s="161" t="str">
        <f>SegundoE</f>
        <v>COSTA de MARFIL</v>
      </c>
      <c r="K78" s="161" t="str">
        <f>SegundoI</f>
        <v>NORUEGA</v>
      </c>
      <c r="L78" s="104" t="s">
        <v>396</v>
      </c>
      <c r="M78" s="104" t="s">
        <v>376</v>
      </c>
      <c r="N78" s="104" t="s">
        <v>215</v>
      </c>
      <c r="O78" s="101" t="s">
        <v>241</v>
      </c>
      <c r="P78" s="128">
        <f>(MID(tDatos[[#This Row],[UTCO]],5,2)+RIGHT(tDatos[[#This Row],[UTCO]],2)/60)*IF(tDatos[[#This Row],[UTCO]]="","",IF(MID(tDatos[[#This Row],[UTCO]],4,1)="+",1,-1))</f>
        <v>-4</v>
      </c>
      <c r="Q78" s="162">
        <f>IFERROR(tDatos[[#This Row],[FECHA]]+tDatos[[#This Row],[HORA]]+(((CoefUTCD)-(tDatos[[#This Row],[CoefUTCO]]))/24),tDatos[[#This Row],[FECHA]]+tDatos[[#This Row],[HORA]])</f>
        <v>46203.541666666664</v>
      </c>
      <c r="S78" s="168">
        <v>2810</v>
      </c>
      <c r="T78" s="168" t="s">
        <v>522</v>
      </c>
      <c r="U78" s="167" t="s">
        <v>433</v>
      </c>
      <c r="V78" s="167" t="s">
        <v>432</v>
      </c>
      <c r="W78" s="167" t="s">
        <v>427</v>
      </c>
      <c r="X78" s="167" t="s">
        <v>429</v>
      </c>
      <c r="Y78" s="167" t="s">
        <v>435</v>
      </c>
      <c r="Z78" s="167" t="s">
        <v>431</v>
      </c>
      <c r="AA78" s="167" t="s">
        <v>437</v>
      </c>
      <c r="AB78" s="169" t="s">
        <v>430</v>
      </c>
    </row>
    <row r="79" spans="6:28" ht="23.25" customHeight="1" x14ac:dyDescent="0.25">
      <c r="F79" s="101">
        <v>78</v>
      </c>
      <c r="G79" s="158" t="s">
        <v>403</v>
      </c>
      <c r="H79" s="102">
        <v>46203</v>
      </c>
      <c r="I79" s="103">
        <v>0.70833333333575865</v>
      </c>
      <c r="J79" s="161" t="str">
        <f>PrimeroI</f>
        <v>FRANCIA</v>
      </c>
      <c r="K79" s="161" t="str">
        <f>INDEX(Dieciseisavos!$U$10:$Y$69,MATCH(VLOOKUP(claveN,tMT[],8,0),Dieciseisavos!$Y$10:$Y$69,0),1)</f>
        <v>SUECIA</v>
      </c>
      <c r="L79" s="104" t="s">
        <v>396</v>
      </c>
      <c r="M79" s="104" t="s">
        <v>370</v>
      </c>
      <c r="N79" s="104" t="s">
        <v>209</v>
      </c>
      <c r="O79" s="101" t="s">
        <v>241</v>
      </c>
      <c r="P79" s="128">
        <f>(MID(tDatos[[#This Row],[UTCO]],5,2)+RIGHT(tDatos[[#This Row],[UTCO]],2)/60)*IF(tDatos[[#This Row],[UTCO]]="","",IF(MID(tDatos[[#This Row],[UTCO]],4,1)="+",1,-1))</f>
        <v>-4</v>
      </c>
      <c r="Q79" s="162">
        <f>IFERROR(tDatos[[#This Row],[FECHA]]+tDatos[[#This Row],[HORA]]+(((CoefUTCD)-(tDatos[[#This Row],[CoefUTCO]]))/24),tDatos[[#This Row],[FECHA]]+tDatos[[#This Row],[HORA]])</f>
        <v>46203.708333333336</v>
      </c>
      <c r="S79" s="168">
        <v>1786</v>
      </c>
      <c r="T79" s="168" t="s">
        <v>523</v>
      </c>
      <c r="U79" s="167" t="s">
        <v>433</v>
      </c>
      <c r="V79" s="167" t="s">
        <v>432</v>
      </c>
      <c r="W79" s="167" t="s">
        <v>427</v>
      </c>
      <c r="X79" s="167" t="s">
        <v>429</v>
      </c>
      <c r="Y79" s="167" t="s">
        <v>435</v>
      </c>
      <c r="Z79" s="167" t="s">
        <v>431</v>
      </c>
      <c r="AA79" s="167" t="s">
        <v>430</v>
      </c>
      <c r="AB79" s="169" t="s">
        <v>436</v>
      </c>
    </row>
    <row r="80" spans="6:28" ht="23.25" customHeight="1" x14ac:dyDescent="0.25">
      <c r="F80" s="101">
        <v>79</v>
      </c>
      <c r="G80" s="158" t="s">
        <v>403</v>
      </c>
      <c r="H80" s="102">
        <v>46203</v>
      </c>
      <c r="I80" s="103">
        <v>0.875</v>
      </c>
      <c r="J80" s="161" t="str">
        <f>PrimeroA</f>
        <v>MÉXICO</v>
      </c>
      <c r="K80" s="161" t="str">
        <f>INDEX(Dieciseisavos!$U$10:$Y$69,MATCH(VLOOKUP(claveN,tMT[],3,0),Dieciseisavos!$Y$10:$Y$69,0),1)</f>
        <v>ECUADOR</v>
      </c>
      <c r="L80" s="104" t="s">
        <v>396</v>
      </c>
      <c r="M80" s="104" t="s">
        <v>366</v>
      </c>
      <c r="N80" s="104" t="s">
        <v>205</v>
      </c>
      <c r="O80" s="101" t="s">
        <v>241</v>
      </c>
      <c r="P80" s="128">
        <f>(MID(tDatos[[#This Row],[UTCO]],5,2)+RIGHT(tDatos[[#This Row],[UTCO]],2)/60)*IF(tDatos[[#This Row],[UTCO]]="","",IF(MID(tDatos[[#This Row],[UTCO]],4,1)="+",1,-1))</f>
        <v>-4</v>
      </c>
      <c r="Q80" s="162">
        <f>IFERROR(tDatos[[#This Row],[FECHA]]+tDatos[[#This Row],[HORA]]+(((CoefUTCD)-(tDatos[[#This Row],[CoefUTCO]]))/24),tDatos[[#This Row],[FECHA]]+tDatos[[#This Row],[HORA]])</f>
        <v>46203.875</v>
      </c>
      <c r="S80" s="168">
        <v>2554</v>
      </c>
      <c r="T80" s="168" t="s">
        <v>524</v>
      </c>
      <c r="U80" s="167" t="s">
        <v>430</v>
      </c>
      <c r="V80" s="167" t="s">
        <v>432</v>
      </c>
      <c r="W80" s="167" t="s">
        <v>427</v>
      </c>
      <c r="X80" s="167" t="s">
        <v>429</v>
      </c>
      <c r="Y80" s="167" t="s">
        <v>433</v>
      </c>
      <c r="Z80" s="167" t="s">
        <v>431</v>
      </c>
      <c r="AA80" s="167" t="s">
        <v>437</v>
      </c>
      <c r="AB80" s="169" t="s">
        <v>434</v>
      </c>
    </row>
    <row r="81" spans="6:28" ht="23.25" customHeight="1" x14ac:dyDescent="0.25">
      <c r="F81" s="101">
        <v>80</v>
      </c>
      <c r="G81" s="158" t="s">
        <v>404</v>
      </c>
      <c r="H81" s="102">
        <v>46204</v>
      </c>
      <c r="I81" s="103">
        <v>0.5</v>
      </c>
      <c r="J81" s="161" t="str">
        <f>PrimeroL</f>
        <v>INGLATERRA</v>
      </c>
      <c r="K81" s="161" t="str">
        <f>INDEX(Dieciseisavos!$U$10:$Y$69,MATCH(VLOOKUP(claveN,tMT[],10,0),Dieciseisavos!$Y$10:$Y$69,0),1)</f>
        <v>REP. del CONGO</v>
      </c>
      <c r="L81" s="104" t="s">
        <v>396</v>
      </c>
      <c r="M81" s="104" t="s">
        <v>379</v>
      </c>
      <c r="N81" s="104" t="s">
        <v>219</v>
      </c>
      <c r="O81" s="101" t="s">
        <v>241</v>
      </c>
      <c r="P81" s="128">
        <f>(MID(tDatos[[#This Row],[UTCO]],5,2)+RIGHT(tDatos[[#This Row],[UTCO]],2)/60)*IF(tDatos[[#This Row],[UTCO]]="","",IF(MID(tDatos[[#This Row],[UTCO]],4,1)="+",1,-1))</f>
        <v>-4</v>
      </c>
      <c r="Q81" s="162">
        <f>IFERROR(tDatos[[#This Row],[FECHA]]+tDatos[[#This Row],[HORA]]+(((CoefUTCD)-(tDatos[[#This Row],[CoefUTCO]]))/24),tDatos[[#This Row],[FECHA]]+tDatos[[#This Row],[HORA]])</f>
        <v>46204.5</v>
      </c>
      <c r="S81" s="168">
        <v>1530</v>
      </c>
      <c r="T81" s="168" t="s">
        <v>525</v>
      </c>
      <c r="U81" s="167" t="s">
        <v>430</v>
      </c>
      <c r="V81" s="167" t="s">
        <v>432</v>
      </c>
      <c r="W81" s="167" t="s">
        <v>427</v>
      </c>
      <c r="X81" s="167" t="s">
        <v>429</v>
      </c>
      <c r="Y81" s="167" t="s">
        <v>433</v>
      </c>
      <c r="Z81" s="167" t="s">
        <v>431</v>
      </c>
      <c r="AA81" s="167" t="s">
        <v>434</v>
      </c>
      <c r="AB81" s="169" t="s">
        <v>436</v>
      </c>
    </row>
    <row r="82" spans="6:28" ht="23.25" customHeight="1" x14ac:dyDescent="0.25">
      <c r="F82" s="101">
        <v>81</v>
      </c>
      <c r="G82" s="158" t="s">
        <v>404</v>
      </c>
      <c r="H82" s="102">
        <v>46204</v>
      </c>
      <c r="I82" s="103">
        <v>0.66666666666424135</v>
      </c>
      <c r="J82" s="161" t="str">
        <f>PrimeroG</f>
        <v>BÉLGICA</v>
      </c>
      <c r="K82" s="161" t="str">
        <f>INDEX(Dieciseisavos!$U$10:$Y$69,MATCH(VLOOKUP(claveN,tMT[],7,0),Dieciseisavos!$Y$10:$Y$69,0),1)</f>
        <v>SENEGAL</v>
      </c>
      <c r="L82" s="104" t="s">
        <v>396</v>
      </c>
      <c r="M82" s="104" t="s">
        <v>380</v>
      </c>
      <c r="N82" s="104" t="s">
        <v>221</v>
      </c>
      <c r="O82" s="101" t="s">
        <v>241</v>
      </c>
      <c r="P82" s="128">
        <f>(MID(tDatos[[#This Row],[UTCO]],5,2)+RIGHT(tDatos[[#This Row],[UTCO]],2)/60)*IF(tDatos[[#This Row],[UTCO]]="","",IF(MID(tDatos[[#This Row],[UTCO]],4,1)="+",1,-1))</f>
        <v>-4</v>
      </c>
      <c r="Q82" s="162">
        <f>IFERROR(tDatos[[#This Row],[FECHA]]+tDatos[[#This Row],[HORA]]+(((CoefUTCD)-(tDatos[[#This Row],[CoefUTCO]]))/24),tDatos[[#This Row],[FECHA]]+tDatos[[#This Row],[HORA]])</f>
        <v>46204.666666666664</v>
      </c>
      <c r="S82" s="168">
        <v>1018</v>
      </c>
      <c r="T82" s="168" t="s">
        <v>526</v>
      </c>
      <c r="U82" s="167" t="s">
        <v>433</v>
      </c>
      <c r="V82" s="167" t="s">
        <v>432</v>
      </c>
      <c r="W82" s="167" t="s">
        <v>427</v>
      </c>
      <c r="X82" s="167" t="s">
        <v>429</v>
      </c>
      <c r="Y82" s="167" t="s">
        <v>435</v>
      </c>
      <c r="Z82" s="167" t="s">
        <v>431</v>
      </c>
      <c r="AA82" s="167" t="s">
        <v>430</v>
      </c>
      <c r="AB82" s="169" t="s">
        <v>434</v>
      </c>
    </row>
    <row r="83" spans="6:28" ht="23.25" customHeight="1" x14ac:dyDescent="0.25">
      <c r="F83" s="101">
        <v>82</v>
      </c>
      <c r="G83" s="158" t="s">
        <v>404</v>
      </c>
      <c r="H83" s="102">
        <v>46204</v>
      </c>
      <c r="I83" s="103">
        <v>0.83333333333575865</v>
      </c>
      <c r="J83" s="161" t="str">
        <f>PrimeroD</f>
        <v>ESTADOS UNIDOS</v>
      </c>
      <c r="K83" s="161" t="str">
        <f>INDEX(Dieciseisavos!$U$10:$Y$69,MATCH(VLOOKUP(claveN,tMT[],5,0),Dieciseisavos!$Y$10:$Y$69,0),1)</f>
        <v>BOSNIA y HERZEG.</v>
      </c>
      <c r="L83" s="104" t="s">
        <v>396</v>
      </c>
      <c r="M83" s="104" t="s">
        <v>374</v>
      </c>
      <c r="N83" s="104" t="s">
        <v>268</v>
      </c>
      <c r="O83" s="101" t="s">
        <v>241</v>
      </c>
      <c r="P83" s="128">
        <f>(MID(tDatos[[#This Row],[UTCO]],5,2)+RIGHT(tDatos[[#This Row],[UTCO]],2)/60)*IF(tDatos[[#This Row],[UTCO]]="","",IF(MID(tDatos[[#This Row],[UTCO]],4,1)="+",1,-1))</f>
        <v>-4</v>
      </c>
      <c r="Q83" s="162">
        <f>IFERROR(tDatos[[#This Row],[FECHA]]+tDatos[[#This Row],[HORA]]+(((CoefUTCD)-(tDatos[[#This Row],[CoefUTCO]]))/24),tDatos[[#This Row],[FECHA]]+tDatos[[#This Row],[HORA]])</f>
        <v>46204.833333333336</v>
      </c>
      <c r="S83" s="168">
        <v>4038</v>
      </c>
      <c r="T83" s="168" t="s">
        <v>527</v>
      </c>
      <c r="U83" s="167" t="s">
        <v>433</v>
      </c>
      <c r="V83" s="167" t="s">
        <v>435</v>
      </c>
      <c r="W83" s="167" t="s">
        <v>427</v>
      </c>
      <c r="X83" s="167" t="s">
        <v>428</v>
      </c>
      <c r="Y83" s="167" t="s">
        <v>434</v>
      </c>
      <c r="Z83" s="167" t="s">
        <v>432</v>
      </c>
      <c r="AA83" s="167" t="s">
        <v>437</v>
      </c>
      <c r="AB83" s="169" t="s">
        <v>436</v>
      </c>
    </row>
    <row r="84" spans="6:28" ht="23.25" customHeight="1" x14ac:dyDescent="0.25">
      <c r="F84" s="101">
        <v>83</v>
      </c>
      <c r="G84" s="158" t="s">
        <v>405</v>
      </c>
      <c r="H84" s="102">
        <v>46205</v>
      </c>
      <c r="I84" s="103">
        <v>0.625</v>
      </c>
      <c r="J84" s="161" t="str">
        <f>PrimeroH</f>
        <v>ESPAÑA</v>
      </c>
      <c r="K84" s="161" t="str">
        <f>SegundoJ</f>
        <v>AUSTRIA</v>
      </c>
      <c r="L84" s="104" t="s">
        <v>396</v>
      </c>
      <c r="M84" s="104" t="s">
        <v>369</v>
      </c>
      <c r="N84" s="104" t="s">
        <v>383</v>
      </c>
      <c r="O84" s="101" t="s">
        <v>241</v>
      </c>
      <c r="P84" s="128">
        <f>(MID(tDatos[[#This Row],[UTCO]],5,2)+RIGHT(tDatos[[#This Row],[UTCO]],2)/60)*IF(tDatos[[#This Row],[UTCO]]="","",IF(MID(tDatos[[#This Row],[UTCO]],4,1)="+",1,-1))</f>
        <v>-4</v>
      </c>
      <c r="Q84" s="162">
        <f>IFERROR(tDatos[[#This Row],[FECHA]]+tDatos[[#This Row],[HORA]]+(((CoefUTCD)-(tDatos[[#This Row],[CoefUTCO]]))/24),tDatos[[#This Row],[FECHA]]+tDatos[[#This Row],[HORA]])</f>
        <v>46205.625</v>
      </c>
      <c r="S84" s="168">
        <v>4006</v>
      </c>
      <c r="T84" s="168" t="s">
        <v>528</v>
      </c>
      <c r="U84" s="167" t="s">
        <v>433</v>
      </c>
      <c r="V84" s="167" t="s">
        <v>435</v>
      </c>
      <c r="W84" s="167" t="s">
        <v>427</v>
      </c>
      <c r="X84" s="167" t="s">
        <v>428</v>
      </c>
      <c r="Y84" s="167" t="s">
        <v>434</v>
      </c>
      <c r="Z84" s="167" t="s">
        <v>431</v>
      </c>
      <c r="AA84" s="167" t="s">
        <v>437</v>
      </c>
      <c r="AB84" s="169" t="s">
        <v>436</v>
      </c>
    </row>
    <row r="85" spans="6:28" ht="23.25" customHeight="1" x14ac:dyDescent="0.25">
      <c r="F85" s="101">
        <v>84</v>
      </c>
      <c r="G85" s="158" t="s">
        <v>405</v>
      </c>
      <c r="H85" s="102">
        <v>46205</v>
      </c>
      <c r="I85" s="103">
        <v>0.79166666666424135</v>
      </c>
      <c r="J85" s="161" t="str">
        <f>SegundoK</f>
        <v>PORTUGAL</v>
      </c>
      <c r="K85" s="161" t="str">
        <f>SegundoL</f>
        <v>CROACIA</v>
      </c>
      <c r="L85" s="104" t="s">
        <v>396</v>
      </c>
      <c r="M85" s="104" t="s">
        <v>373</v>
      </c>
      <c r="N85" s="104" t="s">
        <v>207</v>
      </c>
      <c r="O85" s="101" t="s">
        <v>241</v>
      </c>
      <c r="P85" s="128">
        <f>(MID(tDatos[[#This Row],[UTCO]],5,2)+RIGHT(tDatos[[#This Row],[UTCO]],2)/60)*IF(tDatos[[#This Row],[UTCO]]="","",IF(MID(tDatos[[#This Row],[UTCO]],4,1)="+",1,-1))</f>
        <v>-4</v>
      </c>
      <c r="Q85" s="162">
        <f>IFERROR(tDatos[[#This Row],[FECHA]]+tDatos[[#This Row],[HORA]]+(((CoefUTCD)-(tDatos[[#This Row],[CoefUTCO]]))/24),tDatos[[#This Row],[FECHA]]+tDatos[[#This Row],[HORA]])</f>
        <v>46205.791666666664</v>
      </c>
      <c r="S85" s="168">
        <v>3942</v>
      </c>
      <c r="T85" s="168" t="s">
        <v>529</v>
      </c>
      <c r="U85" s="167" t="s">
        <v>434</v>
      </c>
      <c r="V85" s="167" t="s">
        <v>432</v>
      </c>
      <c r="W85" s="167" t="s">
        <v>427</v>
      </c>
      <c r="X85" s="167" t="s">
        <v>428</v>
      </c>
      <c r="Y85" s="167" t="s">
        <v>435</v>
      </c>
      <c r="Z85" s="167" t="s">
        <v>431</v>
      </c>
      <c r="AA85" s="167" t="s">
        <v>437</v>
      </c>
      <c r="AB85" s="169" t="s">
        <v>436</v>
      </c>
    </row>
    <row r="86" spans="6:28" ht="23.25" customHeight="1" x14ac:dyDescent="0.25">
      <c r="F86" s="101">
        <v>85</v>
      </c>
      <c r="G86" s="158" t="s">
        <v>405</v>
      </c>
      <c r="H86" s="102">
        <v>46205</v>
      </c>
      <c r="I86" s="103">
        <v>0.95833333333575865</v>
      </c>
      <c r="J86" s="161" t="str">
        <f>PrimeroB</f>
        <v>SUIZA</v>
      </c>
      <c r="K86" s="161" t="str">
        <f>INDEX(Dieciseisavos!$U$10:$Y$69,MATCH(VLOOKUP(claveN,tMT[],4,0),Dieciseisavos!$Y$10:$Y$69,0),1)</f>
        <v>ARGELIA</v>
      </c>
      <c r="L86" s="104" t="s">
        <v>396</v>
      </c>
      <c r="M86" s="104" t="s">
        <v>372</v>
      </c>
      <c r="N86" s="104" t="s">
        <v>269</v>
      </c>
      <c r="O86" s="101" t="s">
        <v>241</v>
      </c>
      <c r="P86" s="128">
        <f>(MID(tDatos[[#This Row],[UTCO]],5,2)+RIGHT(tDatos[[#This Row],[UTCO]],2)/60)*IF(tDatos[[#This Row],[UTCO]]="","",IF(MID(tDatos[[#This Row],[UTCO]],4,1)="+",1,-1))</f>
        <v>-4</v>
      </c>
      <c r="Q86" s="162">
        <f>IFERROR(tDatos[[#This Row],[FECHA]]+tDatos[[#This Row],[HORA]]+(((CoefUTCD)-(tDatos[[#This Row],[CoefUTCO]]))/24),tDatos[[#This Row],[FECHA]]+tDatos[[#This Row],[HORA]])</f>
        <v>46205.958333333336</v>
      </c>
      <c r="S86" s="168">
        <v>3814</v>
      </c>
      <c r="T86" s="168" t="s">
        <v>530</v>
      </c>
      <c r="U86" s="167" t="s">
        <v>433</v>
      </c>
      <c r="V86" s="167" t="s">
        <v>432</v>
      </c>
      <c r="W86" s="167" t="s">
        <v>427</v>
      </c>
      <c r="X86" s="167" t="s">
        <v>428</v>
      </c>
      <c r="Y86" s="167" t="s">
        <v>435</v>
      </c>
      <c r="Z86" s="167" t="s">
        <v>431</v>
      </c>
      <c r="AA86" s="167" t="s">
        <v>437</v>
      </c>
      <c r="AB86" s="169" t="s">
        <v>436</v>
      </c>
    </row>
    <row r="87" spans="6:28" ht="23.25" customHeight="1" x14ac:dyDescent="0.25">
      <c r="F87" s="101">
        <v>86</v>
      </c>
      <c r="G87" s="158" t="s">
        <v>406</v>
      </c>
      <c r="H87" s="102">
        <v>46206</v>
      </c>
      <c r="I87" s="103">
        <v>0.58333333333575865</v>
      </c>
      <c r="J87" s="161" t="str">
        <f>SegundoD</f>
        <v>AUSTRALIA</v>
      </c>
      <c r="K87" s="161" t="str">
        <f>SegundoG</f>
        <v>EGIPTO</v>
      </c>
      <c r="L87" s="104" t="s">
        <v>396</v>
      </c>
      <c r="M87" s="104" t="s">
        <v>376</v>
      </c>
      <c r="N87" s="104" t="s">
        <v>215</v>
      </c>
      <c r="O87" s="101" t="s">
        <v>241</v>
      </c>
      <c r="P87" s="128">
        <f>(MID(tDatos[[#This Row],[UTCO]],5,2)+RIGHT(tDatos[[#This Row],[UTCO]],2)/60)*IF(tDatos[[#This Row],[UTCO]]="","",IF(MID(tDatos[[#This Row],[UTCO]],4,1)="+",1,-1))</f>
        <v>-4</v>
      </c>
      <c r="Q87" s="162">
        <f>IFERROR(tDatos[[#This Row],[FECHA]]+tDatos[[#This Row],[HORA]]+(((CoefUTCD)-(tDatos[[#This Row],[CoefUTCO]]))/24),tDatos[[#This Row],[FECHA]]+tDatos[[#This Row],[HORA]])</f>
        <v>46206.583333333336</v>
      </c>
      <c r="S87" s="168">
        <v>3558</v>
      </c>
      <c r="T87" s="168" t="s">
        <v>531</v>
      </c>
      <c r="U87" s="167" t="s">
        <v>433</v>
      </c>
      <c r="V87" s="167" t="s">
        <v>432</v>
      </c>
      <c r="W87" s="167" t="s">
        <v>427</v>
      </c>
      <c r="X87" s="167" t="s">
        <v>428</v>
      </c>
      <c r="Y87" s="167" t="s">
        <v>434</v>
      </c>
      <c r="Z87" s="167" t="s">
        <v>431</v>
      </c>
      <c r="AA87" s="167" t="s">
        <v>437</v>
      </c>
      <c r="AB87" s="169" t="s">
        <v>436</v>
      </c>
    </row>
    <row r="88" spans="6:28" ht="23.25" customHeight="1" x14ac:dyDescent="0.25">
      <c r="F88" s="101">
        <v>87</v>
      </c>
      <c r="G88" s="158" t="s">
        <v>406</v>
      </c>
      <c r="H88" s="102">
        <v>46206</v>
      </c>
      <c r="I88" s="103">
        <v>0.75</v>
      </c>
      <c r="J88" s="161" t="str">
        <f>PrimeroJ</f>
        <v>ARGENTINA</v>
      </c>
      <c r="K88" s="161" t="str">
        <f>SegundoH</f>
        <v>CABO VERDE</v>
      </c>
      <c r="L88" s="104" t="s">
        <v>396</v>
      </c>
      <c r="M88" s="104" t="s">
        <v>381</v>
      </c>
      <c r="N88" s="104" t="s">
        <v>222</v>
      </c>
      <c r="O88" s="101" t="s">
        <v>241</v>
      </c>
      <c r="P88" s="128">
        <f>(MID(tDatos[[#This Row],[UTCO]],5,2)+RIGHT(tDatos[[#This Row],[UTCO]],2)/60)*IF(tDatos[[#This Row],[UTCO]]="","",IF(MID(tDatos[[#This Row],[UTCO]],4,1)="+",1,-1))</f>
        <v>-4</v>
      </c>
      <c r="Q88" s="162">
        <f>IFERROR(tDatos[[#This Row],[FECHA]]+tDatos[[#This Row],[HORA]]+(((CoefUTCD)-(tDatos[[#This Row],[CoefUTCO]]))/24),tDatos[[#This Row],[FECHA]]+tDatos[[#This Row],[HORA]])</f>
        <v>46206.75</v>
      </c>
      <c r="S88" s="168">
        <v>3046</v>
      </c>
      <c r="T88" s="168" t="s">
        <v>532</v>
      </c>
      <c r="U88" s="167" t="s">
        <v>433</v>
      </c>
      <c r="V88" s="167" t="s">
        <v>432</v>
      </c>
      <c r="W88" s="167" t="s">
        <v>427</v>
      </c>
      <c r="X88" s="167" t="s">
        <v>428</v>
      </c>
      <c r="Y88" s="167" t="s">
        <v>435</v>
      </c>
      <c r="Z88" s="167" t="s">
        <v>431</v>
      </c>
      <c r="AA88" s="167" t="s">
        <v>437</v>
      </c>
      <c r="AB88" s="169" t="s">
        <v>434</v>
      </c>
    </row>
    <row r="89" spans="6:28" ht="23.25" customHeight="1" x14ac:dyDescent="0.25">
      <c r="F89" s="101">
        <v>88</v>
      </c>
      <c r="G89" s="158" t="s">
        <v>406</v>
      </c>
      <c r="H89" s="102">
        <v>46206</v>
      </c>
      <c r="I89" s="103">
        <v>0.89583333333575865</v>
      </c>
      <c r="J89" s="161" t="str">
        <f>PrimeroK</f>
        <v>COLOMBIA</v>
      </c>
      <c r="K89" s="161" t="str">
        <f>INDEX(Dieciseisavos!$U$10:$Y$69,MATCH(VLOOKUP(claveN,tMT[],9,0),Dieciseisavos!$Y$10:$Y$69,0),1)</f>
        <v>GHANA</v>
      </c>
      <c r="L89" s="104" t="s">
        <v>396</v>
      </c>
      <c r="M89" s="104" t="s">
        <v>382</v>
      </c>
      <c r="N89" s="104" t="s">
        <v>226</v>
      </c>
      <c r="O89" s="101" t="s">
        <v>241</v>
      </c>
      <c r="P89" s="128">
        <f>(MID(tDatos[[#This Row],[UTCO]],5,2)+RIGHT(tDatos[[#This Row],[UTCO]],2)/60)*IF(tDatos[[#This Row],[UTCO]]="","",IF(MID(tDatos[[#This Row],[UTCO]],4,1)="+",1,-1))</f>
        <v>-4</v>
      </c>
      <c r="Q89" s="162">
        <f>IFERROR(tDatos[[#This Row],[FECHA]]+tDatos[[#This Row],[HORA]]+(((CoefUTCD)-(tDatos[[#This Row],[CoefUTCO]]))/24),tDatos[[#This Row],[FECHA]]+tDatos[[#This Row],[HORA]])</f>
        <v>46206.895833333336</v>
      </c>
      <c r="S89" s="168">
        <v>2022</v>
      </c>
      <c r="T89" s="168" t="s">
        <v>533</v>
      </c>
      <c r="U89" s="167" t="s">
        <v>433</v>
      </c>
      <c r="V89" s="167" t="s">
        <v>432</v>
      </c>
      <c r="W89" s="167" t="s">
        <v>427</v>
      </c>
      <c r="X89" s="167" t="s">
        <v>428</v>
      </c>
      <c r="Y89" s="167" t="s">
        <v>435</v>
      </c>
      <c r="Z89" s="167" t="s">
        <v>431</v>
      </c>
      <c r="AA89" s="167" t="s">
        <v>434</v>
      </c>
      <c r="AB89" s="169" t="s">
        <v>436</v>
      </c>
    </row>
    <row r="90" spans="6:28" ht="23.25" customHeight="1" x14ac:dyDescent="0.25">
      <c r="F90" s="101">
        <v>89</v>
      </c>
      <c r="G90" s="158" t="s">
        <v>407</v>
      </c>
      <c r="H90" s="102">
        <v>46207</v>
      </c>
      <c r="I90" s="103">
        <v>0.54166666666424135</v>
      </c>
      <c r="J90" s="161" t="str">
        <f>Ganador73</f>
        <v>CANADÁ</v>
      </c>
      <c r="K90" s="161" t="str">
        <f>Ganador75</f>
        <v>MARRUECOS</v>
      </c>
      <c r="L90" s="104" t="s">
        <v>397</v>
      </c>
      <c r="M90" s="104" t="s">
        <v>375</v>
      </c>
      <c r="N90" s="104" t="s">
        <v>214</v>
      </c>
      <c r="O90" s="101" t="s">
        <v>241</v>
      </c>
      <c r="P90" s="128">
        <f>(MID(tDatos[[#This Row],[UTCO]],5,2)+RIGHT(tDatos[[#This Row],[UTCO]],2)/60)*IF(tDatos[[#This Row],[UTCO]]="","",IF(MID(tDatos[[#This Row],[UTCO]],4,1)="+",1,-1))</f>
        <v>-4</v>
      </c>
      <c r="Q90" s="162">
        <f>IFERROR(tDatos[[#This Row],[FECHA]]+tDatos[[#This Row],[HORA]]+(((CoefUTCD)-(tDatos[[#This Row],[CoefUTCO]]))/24),tDatos[[#This Row],[FECHA]]+tDatos[[#This Row],[HORA]])</f>
        <v>46207.541666666664</v>
      </c>
      <c r="S90" s="168">
        <v>3990</v>
      </c>
      <c r="T90" s="168" t="s">
        <v>534</v>
      </c>
      <c r="U90" s="167" t="s">
        <v>430</v>
      </c>
      <c r="V90" s="167" t="s">
        <v>435</v>
      </c>
      <c r="W90" s="167" t="s">
        <v>427</v>
      </c>
      <c r="X90" s="167" t="s">
        <v>428</v>
      </c>
      <c r="Y90" s="167" t="s">
        <v>434</v>
      </c>
      <c r="Z90" s="167" t="s">
        <v>433</v>
      </c>
      <c r="AA90" s="167" t="s">
        <v>437</v>
      </c>
      <c r="AB90" s="169" t="s">
        <v>436</v>
      </c>
    </row>
    <row r="91" spans="6:28" ht="23.25" customHeight="1" x14ac:dyDescent="0.25">
      <c r="F91" s="101">
        <v>90</v>
      </c>
      <c r="G91" s="158" t="s">
        <v>407</v>
      </c>
      <c r="H91" s="102">
        <v>46207</v>
      </c>
      <c r="I91" s="103">
        <v>0.70833333333575865</v>
      </c>
      <c r="J91" s="161" t="str">
        <f>Ganador74</f>
        <v>PARAGUAY</v>
      </c>
      <c r="K91" s="161" t="str">
        <f>Ganador77</f>
        <v>FRANCIA</v>
      </c>
      <c r="L91" s="104" t="s">
        <v>397</v>
      </c>
      <c r="M91" s="104" t="s">
        <v>377</v>
      </c>
      <c r="N91" s="104" t="s">
        <v>216</v>
      </c>
      <c r="O91" s="101" t="s">
        <v>241</v>
      </c>
      <c r="P91" s="128">
        <f>(MID(tDatos[[#This Row],[UTCO]],5,2)+RIGHT(tDatos[[#This Row],[UTCO]],2)/60)*IF(tDatos[[#This Row],[UTCO]]="","",IF(MID(tDatos[[#This Row],[UTCO]],4,1)="+",1,-1))</f>
        <v>-4</v>
      </c>
      <c r="Q91" s="162">
        <f>IFERROR(tDatos[[#This Row],[FECHA]]+tDatos[[#This Row],[HORA]]+(((CoefUTCD)-(tDatos[[#This Row],[CoefUTCO]]))/24),tDatos[[#This Row],[FECHA]]+tDatos[[#This Row],[HORA]])</f>
        <v>46207.708333333336</v>
      </c>
      <c r="S91" s="168">
        <v>3926</v>
      </c>
      <c r="T91" s="168" t="s">
        <v>535</v>
      </c>
      <c r="U91" s="167" t="s">
        <v>430</v>
      </c>
      <c r="V91" s="167" t="s">
        <v>435</v>
      </c>
      <c r="W91" s="167" t="s">
        <v>427</v>
      </c>
      <c r="X91" s="167" t="s">
        <v>428</v>
      </c>
      <c r="Y91" s="167" t="s">
        <v>434</v>
      </c>
      <c r="Z91" s="167" t="s">
        <v>432</v>
      </c>
      <c r="AA91" s="167" t="s">
        <v>437</v>
      </c>
      <c r="AB91" s="169" t="s">
        <v>436</v>
      </c>
    </row>
    <row r="92" spans="6:28" ht="23.25" customHeight="1" x14ac:dyDescent="0.25">
      <c r="F92" s="101">
        <v>91</v>
      </c>
      <c r="G92" s="158" t="s">
        <v>408</v>
      </c>
      <c r="H92" s="102">
        <v>46208</v>
      </c>
      <c r="I92" s="103">
        <v>0.66666666666424135</v>
      </c>
      <c r="J92" s="161" t="str">
        <f>Ganador76</f>
        <v>BRASIL</v>
      </c>
      <c r="K92" s="161" t="str">
        <f>Ganador78</f>
        <v>NORUEGA</v>
      </c>
      <c r="L92" s="104" t="s">
        <v>397</v>
      </c>
      <c r="M92" s="104" t="s">
        <v>370</v>
      </c>
      <c r="N92" s="104" t="s">
        <v>209</v>
      </c>
      <c r="O92" s="101" t="s">
        <v>241</v>
      </c>
      <c r="P92" s="128">
        <f>(MID(tDatos[[#This Row],[UTCO]],5,2)+RIGHT(tDatos[[#This Row],[UTCO]],2)/60)*IF(tDatos[[#This Row],[UTCO]]="","",IF(MID(tDatos[[#This Row],[UTCO]],4,1)="+",1,-1))</f>
        <v>-4</v>
      </c>
      <c r="Q92" s="162">
        <f>IFERROR(tDatos[[#This Row],[FECHA]]+tDatos[[#This Row],[HORA]]+(((CoefUTCD)-(tDatos[[#This Row],[CoefUTCO]]))/24),tDatos[[#This Row],[FECHA]]+tDatos[[#This Row],[HORA]])</f>
        <v>46208.666666666664</v>
      </c>
      <c r="S92" s="168">
        <v>3798</v>
      </c>
      <c r="T92" s="168" t="s">
        <v>536</v>
      </c>
      <c r="U92" s="167" t="s">
        <v>430</v>
      </c>
      <c r="V92" s="167" t="s">
        <v>435</v>
      </c>
      <c r="W92" s="167" t="s">
        <v>427</v>
      </c>
      <c r="X92" s="167" t="s">
        <v>428</v>
      </c>
      <c r="Y92" s="167" t="s">
        <v>433</v>
      </c>
      <c r="Z92" s="167" t="s">
        <v>432</v>
      </c>
      <c r="AA92" s="167" t="s">
        <v>437</v>
      </c>
      <c r="AB92" s="169" t="s">
        <v>436</v>
      </c>
    </row>
    <row r="93" spans="6:28" ht="23.25" customHeight="1" x14ac:dyDescent="0.25">
      <c r="F93" s="101">
        <v>92</v>
      </c>
      <c r="G93" s="158" t="s">
        <v>408</v>
      </c>
      <c r="H93" s="102">
        <v>46208</v>
      </c>
      <c r="I93" s="103">
        <v>0.83333333333575865</v>
      </c>
      <c r="J93" s="161" t="str">
        <f>Ganador79</f>
        <v>MÉXICO</v>
      </c>
      <c r="K93" s="161" t="str">
        <f>Ganador80</f>
        <v>INGLATERRA</v>
      </c>
      <c r="L93" s="104" t="s">
        <v>397</v>
      </c>
      <c r="M93" s="104" t="s">
        <v>366</v>
      </c>
      <c r="N93" s="104" t="s">
        <v>205</v>
      </c>
      <c r="O93" s="101" t="s">
        <v>241</v>
      </c>
      <c r="P93" s="128">
        <f>(MID(tDatos[[#This Row],[UTCO]],5,2)+RIGHT(tDatos[[#This Row],[UTCO]],2)/60)*IF(tDatos[[#This Row],[UTCO]]="","",IF(MID(tDatos[[#This Row],[UTCO]],4,1)="+",1,-1))</f>
        <v>-4</v>
      </c>
      <c r="Q93" s="162">
        <f>IFERROR(tDatos[[#This Row],[FECHA]]+tDatos[[#This Row],[HORA]]+(((CoefUTCD)-(tDatos[[#This Row],[CoefUTCO]]))/24),tDatos[[#This Row],[FECHA]]+tDatos[[#This Row],[HORA]])</f>
        <v>46208.833333333336</v>
      </c>
      <c r="S93" s="168">
        <v>3542</v>
      </c>
      <c r="T93" s="168" t="s">
        <v>537</v>
      </c>
      <c r="U93" s="167" t="s">
        <v>430</v>
      </c>
      <c r="V93" s="167" t="s">
        <v>432</v>
      </c>
      <c r="W93" s="167" t="s">
        <v>427</v>
      </c>
      <c r="X93" s="167" t="s">
        <v>428</v>
      </c>
      <c r="Y93" s="167" t="s">
        <v>434</v>
      </c>
      <c r="Z93" s="167" t="s">
        <v>433</v>
      </c>
      <c r="AA93" s="167" t="s">
        <v>437</v>
      </c>
      <c r="AB93" s="169" t="s">
        <v>436</v>
      </c>
    </row>
    <row r="94" spans="6:28" ht="23.25" customHeight="1" x14ac:dyDescent="0.25">
      <c r="F94" s="101">
        <v>93</v>
      </c>
      <c r="G94" s="158" t="s">
        <v>409</v>
      </c>
      <c r="H94" s="102">
        <v>46209</v>
      </c>
      <c r="I94" s="103">
        <v>0.625</v>
      </c>
      <c r="J94" s="161" t="str">
        <f>Ganador83</f>
        <v>PORTUGAL</v>
      </c>
      <c r="K94" s="161" t="str">
        <f>Ganador84</f>
        <v>ESPAÑA</v>
      </c>
      <c r="L94" s="104" t="s">
        <v>397</v>
      </c>
      <c r="M94" s="104" t="s">
        <v>376</v>
      </c>
      <c r="N94" s="104" t="s">
        <v>215</v>
      </c>
      <c r="O94" s="101" t="s">
        <v>241</v>
      </c>
      <c r="P94" s="128">
        <f>(MID(tDatos[[#This Row],[UTCO]],5,2)+RIGHT(tDatos[[#This Row],[UTCO]],2)/60)*IF(tDatos[[#This Row],[UTCO]]="","",IF(MID(tDatos[[#This Row],[UTCO]],4,1)="+",1,-1))</f>
        <v>-4</v>
      </c>
      <c r="Q94" s="162">
        <f>IFERROR(tDatos[[#This Row],[FECHA]]+tDatos[[#This Row],[HORA]]+(((CoefUTCD)-(tDatos[[#This Row],[CoefUTCO]]))/24),tDatos[[#This Row],[FECHA]]+tDatos[[#This Row],[HORA]])</f>
        <v>46209.625</v>
      </c>
      <c r="S94" s="168">
        <v>3030</v>
      </c>
      <c r="T94" s="168" t="s">
        <v>538</v>
      </c>
      <c r="U94" s="167" t="s">
        <v>430</v>
      </c>
      <c r="V94" s="167" t="s">
        <v>435</v>
      </c>
      <c r="W94" s="167" t="s">
        <v>427</v>
      </c>
      <c r="X94" s="167" t="s">
        <v>428</v>
      </c>
      <c r="Y94" s="167" t="s">
        <v>433</v>
      </c>
      <c r="Z94" s="167" t="s">
        <v>432</v>
      </c>
      <c r="AA94" s="167" t="s">
        <v>437</v>
      </c>
      <c r="AB94" s="169" t="s">
        <v>434</v>
      </c>
    </row>
    <row r="95" spans="6:28" ht="23.25" customHeight="1" x14ac:dyDescent="0.25">
      <c r="F95" s="101">
        <v>94</v>
      </c>
      <c r="G95" s="158" t="s">
        <v>409</v>
      </c>
      <c r="H95" s="102">
        <v>46209</v>
      </c>
      <c r="I95" s="103">
        <v>0.83333333333575865</v>
      </c>
      <c r="J95" s="161" t="str">
        <f>Ganador81</f>
        <v>ESTADOS UNIDOS</v>
      </c>
      <c r="K95" s="161" t="str">
        <f>Ganador82</f>
        <v>BÉLGICA</v>
      </c>
      <c r="L95" s="104" t="s">
        <v>397</v>
      </c>
      <c r="M95" s="104" t="s">
        <v>380</v>
      </c>
      <c r="N95" s="104" t="s">
        <v>221</v>
      </c>
      <c r="O95" s="101" t="s">
        <v>241</v>
      </c>
      <c r="P95" s="128">
        <f>(MID(tDatos[[#This Row],[UTCO]],5,2)+RIGHT(tDatos[[#This Row],[UTCO]],2)/60)*IF(tDatos[[#This Row],[UTCO]]="","",IF(MID(tDatos[[#This Row],[UTCO]],4,1)="+",1,-1))</f>
        <v>-4</v>
      </c>
      <c r="Q95" s="162">
        <f>IFERROR(tDatos[[#This Row],[FECHA]]+tDatos[[#This Row],[HORA]]+(((CoefUTCD)-(tDatos[[#This Row],[CoefUTCO]]))/24),tDatos[[#This Row],[FECHA]]+tDatos[[#This Row],[HORA]])</f>
        <v>46209.833333333336</v>
      </c>
      <c r="S95" s="168">
        <v>2006</v>
      </c>
      <c r="T95" s="168" t="s">
        <v>539</v>
      </c>
      <c r="U95" s="167" t="s">
        <v>430</v>
      </c>
      <c r="V95" s="167" t="s">
        <v>435</v>
      </c>
      <c r="W95" s="167" t="s">
        <v>427</v>
      </c>
      <c r="X95" s="167" t="s">
        <v>428</v>
      </c>
      <c r="Y95" s="167" t="s">
        <v>433</v>
      </c>
      <c r="Z95" s="167" t="s">
        <v>432</v>
      </c>
      <c r="AA95" s="167" t="s">
        <v>434</v>
      </c>
      <c r="AB95" s="169" t="s">
        <v>436</v>
      </c>
    </row>
    <row r="96" spans="6:28" ht="23.25" customHeight="1" x14ac:dyDescent="0.25">
      <c r="F96" s="101">
        <v>95</v>
      </c>
      <c r="G96" s="158" t="s">
        <v>410</v>
      </c>
      <c r="H96" s="102">
        <v>46210</v>
      </c>
      <c r="I96" s="103">
        <v>0.5</v>
      </c>
      <c r="J96" s="161" t="str">
        <f>Ganador86</f>
        <v>ARGENTINA</v>
      </c>
      <c r="K96" s="161" t="str">
        <f>Ganador88</f>
        <v>EGIPTO</v>
      </c>
      <c r="L96" s="104" t="s">
        <v>397</v>
      </c>
      <c r="M96" s="104" t="s">
        <v>379</v>
      </c>
      <c r="N96" s="104" t="s">
        <v>219</v>
      </c>
      <c r="O96" s="101" t="s">
        <v>241</v>
      </c>
      <c r="P96" s="128">
        <f>(MID(tDatos[[#This Row],[UTCO]],5,2)+RIGHT(tDatos[[#This Row],[UTCO]],2)/60)*IF(tDatos[[#This Row],[UTCO]]="","",IF(MID(tDatos[[#This Row],[UTCO]],4,1)="+",1,-1))</f>
        <v>-4</v>
      </c>
      <c r="Q96" s="162">
        <f>IFERROR(tDatos[[#This Row],[FECHA]]+tDatos[[#This Row],[HORA]]+(((CoefUTCD)-(tDatos[[#This Row],[CoefUTCO]]))/24),tDatos[[#This Row],[FECHA]]+tDatos[[#This Row],[HORA]])</f>
        <v>46210.5</v>
      </c>
      <c r="S96" s="168">
        <v>3894</v>
      </c>
      <c r="T96" s="168" t="s">
        <v>540</v>
      </c>
      <c r="U96" s="167" t="s">
        <v>430</v>
      </c>
      <c r="V96" s="167" t="s">
        <v>435</v>
      </c>
      <c r="W96" s="167" t="s">
        <v>427</v>
      </c>
      <c r="X96" s="167" t="s">
        <v>428</v>
      </c>
      <c r="Y96" s="167" t="s">
        <v>434</v>
      </c>
      <c r="Z96" s="167" t="s">
        <v>431</v>
      </c>
      <c r="AA96" s="167" t="s">
        <v>437</v>
      </c>
      <c r="AB96" s="169" t="s">
        <v>436</v>
      </c>
    </row>
    <row r="97" spans="6:28" ht="23.25" customHeight="1" x14ac:dyDescent="0.25">
      <c r="F97" s="101">
        <v>96</v>
      </c>
      <c r="G97" s="158" t="s">
        <v>410</v>
      </c>
      <c r="H97" s="102">
        <v>46210</v>
      </c>
      <c r="I97" s="103">
        <v>0.66666666666424135</v>
      </c>
      <c r="J97" s="161" t="str">
        <f>Ganador85</f>
        <v>SUIZA</v>
      </c>
      <c r="K97" s="161" t="str">
        <f>Ganador87</f>
        <v>COLOMBIA</v>
      </c>
      <c r="L97" s="104" t="s">
        <v>397</v>
      </c>
      <c r="M97" s="104" t="s">
        <v>372</v>
      </c>
      <c r="N97" s="104" t="s">
        <v>269</v>
      </c>
      <c r="O97" s="101" t="s">
        <v>241</v>
      </c>
      <c r="P97" s="128">
        <f>(MID(tDatos[[#This Row],[UTCO]],5,2)+RIGHT(tDatos[[#This Row],[UTCO]],2)/60)*IF(tDatos[[#This Row],[UTCO]]="","",IF(MID(tDatos[[#This Row],[UTCO]],4,1)="+",1,-1))</f>
        <v>-4</v>
      </c>
      <c r="Q97" s="162">
        <f>IFERROR(tDatos[[#This Row],[FECHA]]+tDatos[[#This Row],[HORA]]+(((CoefUTCD)-(tDatos[[#This Row],[CoefUTCO]]))/24),tDatos[[#This Row],[FECHA]]+tDatos[[#This Row],[HORA]])</f>
        <v>46210.666666666664</v>
      </c>
      <c r="S97" s="168">
        <v>3766</v>
      </c>
      <c r="T97" s="168" t="s">
        <v>541</v>
      </c>
      <c r="U97" s="167" t="s">
        <v>430</v>
      </c>
      <c r="V97" s="167" t="s">
        <v>435</v>
      </c>
      <c r="W97" s="167" t="s">
        <v>427</v>
      </c>
      <c r="X97" s="167" t="s">
        <v>428</v>
      </c>
      <c r="Y97" s="167" t="s">
        <v>433</v>
      </c>
      <c r="Z97" s="167" t="s">
        <v>431</v>
      </c>
      <c r="AA97" s="167" t="s">
        <v>437</v>
      </c>
      <c r="AB97" s="169" t="s">
        <v>436</v>
      </c>
    </row>
    <row r="98" spans="6:28" ht="23.25" customHeight="1" x14ac:dyDescent="0.25">
      <c r="F98" s="101">
        <v>97</v>
      </c>
      <c r="G98" s="158" t="s">
        <v>411</v>
      </c>
      <c r="H98" s="102">
        <v>46212</v>
      </c>
      <c r="I98" s="103">
        <v>0.66666666666424135</v>
      </c>
      <c r="J98" s="161" t="str">
        <f>Ganador89</f>
        <v>FRANCIA</v>
      </c>
      <c r="K98" s="161" t="str">
        <f>Ganador90</f>
        <v>MARRUECOS</v>
      </c>
      <c r="L98" s="104" t="s">
        <v>398</v>
      </c>
      <c r="M98" s="104" t="s">
        <v>371</v>
      </c>
      <c r="N98" s="104" t="s">
        <v>212</v>
      </c>
      <c r="O98" s="101" t="s">
        <v>241</v>
      </c>
      <c r="P98" s="128">
        <f>(MID(tDatos[[#This Row],[UTCO]],5,2)+RIGHT(tDatos[[#This Row],[UTCO]],2)/60)*IF(tDatos[[#This Row],[UTCO]]="","",IF(MID(tDatos[[#This Row],[UTCO]],4,1)="+",1,-1))</f>
        <v>-4</v>
      </c>
      <c r="Q98" s="162">
        <f>IFERROR(tDatos[[#This Row],[FECHA]]+tDatos[[#This Row],[HORA]]+(((CoefUTCD)-(tDatos[[#This Row],[CoefUTCO]]))/24),tDatos[[#This Row],[FECHA]]+tDatos[[#This Row],[HORA]])</f>
        <v>46212.666666666664</v>
      </c>
      <c r="S98" s="168">
        <v>3510</v>
      </c>
      <c r="T98" s="168" t="s">
        <v>542</v>
      </c>
      <c r="U98" s="167" t="s">
        <v>430</v>
      </c>
      <c r="V98" s="167" t="s">
        <v>434</v>
      </c>
      <c r="W98" s="167" t="s">
        <v>427</v>
      </c>
      <c r="X98" s="167" t="s">
        <v>428</v>
      </c>
      <c r="Y98" s="167" t="s">
        <v>433</v>
      </c>
      <c r="Z98" s="167" t="s">
        <v>431</v>
      </c>
      <c r="AA98" s="167" t="s">
        <v>437</v>
      </c>
      <c r="AB98" s="169" t="s">
        <v>436</v>
      </c>
    </row>
    <row r="99" spans="6:28" ht="23.25" customHeight="1" x14ac:dyDescent="0.25">
      <c r="F99" s="101">
        <v>98</v>
      </c>
      <c r="G99" s="158" t="s">
        <v>412</v>
      </c>
      <c r="H99" s="102">
        <v>46213</v>
      </c>
      <c r="I99" s="103">
        <v>0.625</v>
      </c>
      <c r="J99" s="161" t="str">
        <f>Ganador93</f>
        <v>ESPAÑA</v>
      </c>
      <c r="K99" s="161" t="str">
        <f>Ganador94</f>
        <v>BÉLGICA</v>
      </c>
      <c r="L99" s="104" t="s">
        <v>398</v>
      </c>
      <c r="M99" s="104" t="s">
        <v>369</v>
      </c>
      <c r="N99" s="104" t="s">
        <v>383</v>
      </c>
      <c r="O99" s="101" t="s">
        <v>241</v>
      </c>
      <c r="P99" s="128">
        <f>(MID(tDatos[[#This Row],[UTCO]],5,2)+RIGHT(tDatos[[#This Row],[UTCO]],2)/60)*IF(tDatos[[#This Row],[UTCO]]="","",IF(MID(tDatos[[#This Row],[UTCO]],4,1)="+",1,-1))</f>
        <v>-4</v>
      </c>
      <c r="Q99" s="162">
        <f>IFERROR(tDatos[[#This Row],[FECHA]]+tDatos[[#This Row],[HORA]]+(((CoefUTCD)-(tDatos[[#This Row],[CoefUTCO]]))/24),tDatos[[#This Row],[FECHA]]+tDatos[[#This Row],[HORA]])</f>
        <v>46213.625</v>
      </c>
      <c r="S99" s="168">
        <v>2998</v>
      </c>
      <c r="T99" s="168" t="s">
        <v>543</v>
      </c>
      <c r="U99" s="167" t="s">
        <v>430</v>
      </c>
      <c r="V99" s="167" t="s">
        <v>435</v>
      </c>
      <c r="W99" s="167" t="s">
        <v>427</v>
      </c>
      <c r="X99" s="167" t="s">
        <v>428</v>
      </c>
      <c r="Y99" s="167" t="s">
        <v>433</v>
      </c>
      <c r="Z99" s="167" t="s">
        <v>431</v>
      </c>
      <c r="AA99" s="167" t="s">
        <v>437</v>
      </c>
      <c r="AB99" s="169" t="s">
        <v>434</v>
      </c>
    </row>
    <row r="100" spans="6:28" ht="23.25" customHeight="1" x14ac:dyDescent="0.25">
      <c r="F100" s="101">
        <v>99</v>
      </c>
      <c r="G100" s="158" t="s">
        <v>413</v>
      </c>
      <c r="H100" s="102">
        <v>46214</v>
      </c>
      <c r="I100" s="103">
        <v>0.70833333333575865</v>
      </c>
      <c r="J100" s="161" t="str">
        <f>Ganador91</f>
        <v>NORUEGA</v>
      </c>
      <c r="K100" s="161" t="str">
        <f>Ganador92</f>
        <v>INGLATERRA</v>
      </c>
      <c r="L100" s="104" t="s">
        <v>398</v>
      </c>
      <c r="M100" s="104" t="s">
        <v>381</v>
      </c>
      <c r="N100" s="104" t="s">
        <v>222</v>
      </c>
      <c r="O100" s="101" t="s">
        <v>241</v>
      </c>
      <c r="P100" s="128">
        <f>(MID(tDatos[[#This Row],[UTCO]],5,2)+RIGHT(tDatos[[#This Row],[UTCO]],2)/60)*IF(tDatos[[#This Row],[UTCO]]="","",IF(MID(tDatos[[#This Row],[UTCO]],4,1)="+",1,-1))</f>
        <v>-4</v>
      </c>
      <c r="Q100" s="162">
        <f>IFERROR(tDatos[[#This Row],[FECHA]]+tDatos[[#This Row],[HORA]]+(((CoefUTCD)-(tDatos[[#This Row],[CoefUTCO]]))/24),tDatos[[#This Row],[FECHA]]+tDatos[[#This Row],[HORA]])</f>
        <v>46214.708333333336</v>
      </c>
      <c r="S100" s="168">
        <v>1974</v>
      </c>
      <c r="T100" s="168" t="s">
        <v>544</v>
      </c>
      <c r="U100" s="167" t="s">
        <v>430</v>
      </c>
      <c r="V100" s="167" t="s">
        <v>435</v>
      </c>
      <c r="W100" s="167" t="s">
        <v>427</v>
      </c>
      <c r="X100" s="167" t="s">
        <v>428</v>
      </c>
      <c r="Y100" s="167" t="s">
        <v>433</v>
      </c>
      <c r="Z100" s="167" t="s">
        <v>431</v>
      </c>
      <c r="AA100" s="167" t="s">
        <v>434</v>
      </c>
      <c r="AB100" s="169" t="s">
        <v>436</v>
      </c>
    </row>
    <row r="101" spans="6:28" ht="23.25" customHeight="1" x14ac:dyDescent="0.25">
      <c r="F101" s="101">
        <v>100</v>
      </c>
      <c r="G101" s="158" t="s">
        <v>413</v>
      </c>
      <c r="H101" s="102">
        <v>46214</v>
      </c>
      <c r="I101" s="103">
        <v>0.875</v>
      </c>
      <c r="J101" s="161" t="str">
        <f>Ganador95</f>
        <v>ARGENTINA</v>
      </c>
      <c r="K101" s="161" t="str">
        <f>Ganador96</f>
        <v>SUIZA</v>
      </c>
      <c r="L101" s="104" t="s">
        <v>398</v>
      </c>
      <c r="M101" s="104" t="s">
        <v>382</v>
      </c>
      <c r="N101" s="104" t="s">
        <v>226</v>
      </c>
      <c r="O101" s="101" t="s">
        <v>241</v>
      </c>
      <c r="P101" s="128">
        <f>(MID(tDatos[[#This Row],[UTCO]],5,2)+RIGHT(tDatos[[#This Row],[UTCO]],2)/60)*IF(tDatos[[#This Row],[UTCO]]="","",IF(MID(tDatos[[#This Row],[UTCO]],4,1)="+",1,-1))</f>
        <v>-4</v>
      </c>
      <c r="Q101" s="162">
        <f>IFERROR(tDatos[[#This Row],[FECHA]]+tDatos[[#This Row],[HORA]]+(((CoefUTCD)-(tDatos[[#This Row],[CoefUTCO]]))/24),tDatos[[#This Row],[FECHA]]+tDatos[[#This Row],[HORA]])</f>
        <v>46214.875</v>
      </c>
      <c r="S101" s="168">
        <v>3702</v>
      </c>
      <c r="T101" s="168" t="s">
        <v>545</v>
      </c>
      <c r="U101" s="167" t="s">
        <v>430</v>
      </c>
      <c r="V101" s="167" t="s">
        <v>432</v>
      </c>
      <c r="W101" s="167" t="s">
        <v>427</v>
      </c>
      <c r="X101" s="167" t="s">
        <v>428</v>
      </c>
      <c r="Y101" s="167" t="s">
        <v>435</v>
      </c>
      <c r="Z101" s="167" t="s">
        <v>431</v>
      </c>
      <c r="AA101" s="167" t="s">
        <v>437</v>
      </c>
      <c r="AB101" s="169" t="s">
        <v>436</v>
      </c>
    </row>
    <row r="102" spans="6:28" ht="23.25" customHeight="1" x14ac:dyDescent="0.25">
      <c r="F102" s="101">
        <v>101</v>
      </c>
      <c r="G102" s="158" t="s">
        <v>414</v>
      </c>
      <c r="H102" s="102">
        <v>46217</v>
      </c>
      <c r="I102" s="103">
        <v>0.625</v>
      </c>
      <c r="J102" s="161" t="str">
        <f>Ganador97</f>
        <v>FRANCIA</v>
      </c>
      <c r="K102" s="161" t="str">
        <f>Ganador98</f>
        <v>ESPAÑA</v>
      </c>
      <c r="L102" s="104" t="s">
        <v>399</v>
      </c>
      <c r="M102" s="104" t="s">
        <v>376</v>
      </c>
      <c r="N102" s="104" t="s">
        <v>215</v>
      </c>
      <c r="O102" s="101" t="s">
        <v>241</v>
      </c>
      <c r="P102" s="128">
        <f>(MID(tDatos[[#This Row],[UTCO]],5,2)+RIGHT(tDatos[[#This Row],[UTCO]],2)/60)*IF(tDatos[[#This Row],[UTCO]]="","",IF(MID(tDatos[[#This Row],[UTCO]],4,1)="+",1,-1))</f>
        <v>-4</v>
      </c>
      <c r="Q102" s="162">
        <f>IFERROR(tDatos[[#This Row],[FECHA]]+tDatos[[#This Row],[HORA]]+(((CoefUTCD)-(tDatos[[#This Row],[CoefUTCO]]))/24),tDatos[[#This Row],[FECHA]]+tDatos[[#This Row],[HORA]])</f>
        <v>46217.625</v>
      </c>
      <c r="S102" s="168">
        <v>3446</v>
      </c>
      <c r="T102" s="168" t="s">
        <v>546</v>
      </c>
      <c r="U102" s="167" t="s">
        <v>430</v>
      </c>
      <c r="V102" s="167" t="s">
        <v>432</v>
      </c>
      <c r="W102" s="167" t="s">
        <v>427</v>
      </c>
      <c r="X102" s="167" t="s">
        <v>428</v>
      </c>
      <c r="Y102" s="167" t="s">
        <v>434</v>
      </c>
      <c r="Z102" s="167" t="s">
        <v>431</v>
      </c>
      <c r="AA102" s="167" t="s">
        <v>437</v>
      </c>
      <c r="AB102" s="169" t="s">
        <v>436</v>
      </c>
    </row>
    <row r="103" spans="6:28" ht="23.25" customHeight="1" x14ac:dyDescent="0.25">
      <c r="F103" s="101">
        <v>102</v>
      </c>
      <c r="G103" s="158" t="s">
        <v>415</v>
      </c>
      <c r="H103" s="102">
        <v>46218</v>
      </c>
      <c r="I103" s="103">
        <v>0.625</v>
      </c>
      <c r="J103" s="161" t="str">
        <f>Ganador99</f>
        <v>INGLATERRA</v>
      </c>
      <c r="K103" s="161" t="str">
        <f>Ganador100</f>
        <v>ARGENTINA</v>
      </c>
      <c r="L103" s="104" t="s">
        <v>399</v>
      </c>
      <c r="M103" s="104" t="s">
        <v>379</v>
      </c>
      <c r="N103" s="104" t="s">
        <v>219</v>
      </c>
      <c r="O103" s="101" t="s">
        <v>241</v>
      </c>
      <c r="P103" s="128">
        <f>(MID(tDatos[[#This Row],[UTCO]],5,2)+RIGHT(tDatos[[#This Row],[UTCO]],2)/60)*IF(tDatos[[#This Row],[UTCO]]="","",IF(MID(tDatos[[#This Row],[UTCO]],4,1)="+",1,-1))</f>
        <v>-4</v>
      </c>
      <c r="Q103" s="162">
        <f>IFERROR(tDatos[[#This Row],[FECHA]]+tDatos[[#This Row],[HORA]]+(((CoefUTCD)-(tDatos[[#This Row],[CoefUTCO]]))/24),tDatos[[#This Row],[FECHA]]+tDatos[[#This Row],[HORA]])</f>
        <v>46218.625</v>
      </c>
      <c r="S103" s="168">
        <v>2934</v>
      </c>
      <c r="T103" s="168" t="s">
        <v>547</v>
      </c>
      <c r="U103" s="167" t="s">
        <v>430</v>
      </c>
      <c r="V103" s="167" t="s">
        <v>432</v>
      </c>
      <c r="W103" s="167" t="s">
        <v>427</v>
      </c>
      <c r="X103" s="167" t="s">
        <v>428</v>
      </c>
      <c r="Y103" s="167" t="s">
        <v>435</v>
      </c>
      <c r="Z103" s="167" t="s">
        <v>431</v>
      </c>
      <c r="AA103" s="167" t="s">
        <v>437</v>
      </c>
      <c r="AB103" s="169" t="s">
        <v>434</v>
      </c>
    </row>
    <row r="104" spans="6:28" ht="23.25" customHeight="1" x14ac:dyDescent="0.25">
      <c r="F104" s="101">
        <v>103</v>
      </c>
      <c r="G104" s="158" t="s">
        <v>416</v>
      </c>
      <c r="H104" s="102">
        <v>46221</v>
      </c>
      <c r="I104" s="103">
        <v>0.70833333333575865</v>
      </c>
      <c r="J104" s="161" t="str">
        <f>Perdedor101</f>
        <v>FRANCIA</v>
      </c>
      <c r="K104" s="161" t="str">
        <f>Perdedor102</f>
        <v>INGLATERRA</v>
      </c>
      <c r="L104" s="104" t="s">
        <v>400</v>
      </c>
      <c r="M104" s="104" t="s">
        <v>381</v>
      </c>
      <c r="N104" s="104" t="s">
        <v>222</v>
      </c>
      <c r="O104" s="101" t="s">
        <v>241</v>
      </c>
      <c r="P104" s="128">
        <f>(MID(tDatos[[#This Row],[UTCO]],5,2)+RIGHT(tDatos[[#This Row],[UTCO]],2)/60)*IF(tDatos[[#This Row],[UTCO]]="","",IF(MID(tDatos[[#This Row],[UTCO]],4,1)="+",1,-1))</f>
        <v>-4</v>
      </c>
      <c r="Q104" s="162">
        <f>IFERROR(tDatos[[#This Row],[FECHA]]+tDatos[[#This Row],[HORA]]+(((CoefUTCD)-(tDatos[[#This Row],[CoefUTCO]]))/24),tDatos[[#This Row],[FECHA]]+tDatos[[#This Row],[HORA]])</f>
        <v>46221.708333333336</v>
      </c>
      <c r="S104" s="168">
        <v>1910</v>
      </c>
      <c r="T104" s="168" t="s">
        <v>548</v>
      </c>
      <c r="U104" s="167" t="s">
        <v>430</v>
      </c>
      <c r="V104" s="167" t="s">
        <v>432</v>
      </c>
      <c r="W104" s="167" t="s">
        <v>427</v>
      </c>
      <c r="X104" s="167" t="s">
        <v>428</v>
      </c>
      <c r="Y104" s="167" t="s">
        <v>435</v>
      </c>
      <c r="Z104" s="167" t="s">
        <v>431</v>
      </c>
      <c r="AA104" s="167" t="s">
        <v>434</v>
      </c>
      <c r="AB104" s="169" t="s">
        <v>436</v>
      </c>
    </row>
    <row r="105" spans="6:28" ht="23.25" customHeight="1" x14ac:dyDescent="0.25">
      <c r="F105" s="105">
        <v>104</v>
      </c>
      <c r="G105" s="159" t="s">
        <v>417</v>
      </c>
      <c r="H105" s="106">
        <v>46222</v>
      </c>
      <c r="I105" s="107">
        <v>0.625</v>
      </c>
      <c r="J105" s="163" t="str">
        <f>Ganador101</f>
        <v>ESPAÑA</v>
      </c>
      <c r="K105" s="163" t="str">
        <f>Ganador102</f>
        <v>ARGENTINA</v>
      </c>
      <c r="L105" s="108" t="s">
        <v>395</v>
      </c>
      <c r="M105" s="108" t="s">
        <v>418</v>
      </c>
      <c r="N105" s="108" t="s">
        <v>209</v>
      </c>
      <c r="O105" s="105" t="s">
        <v>241</v>
      </c>
      <c r="P105" s="165">
        <f>(MID(tDatos[[#This Row],[UTCO]],5,2)+RIGHT(tDatos[[#This Row],[UTCO]],2)/60)*IF(tDatos[[#This Row],[UTCO]]="","",IF(MID(tDatos[[#This Row],[UTCO]],4,1)="+",1,-1))</f>
        <v>-4</v>
      </c>
      <c r="Q105" s="164">
        <f>IFERROR(tDatos[[#This Row],[FECHA]]+tDatos[[#This Row],[HORA]]+(((CoefUTCD)-(tDatos[[#This Row],[CoefUTCO]]))/24),tDatos[[#This Row],[FECHA]]+tDatos[[#This Row],[HORA]])</f>
        <v>46222.625</v>
      </c>
      <c r="S105" s="168">
        <v>3318</v>
      </c>
      <c r="T105" s="168" t="s">
        <v>549</v>
      </c>
      <c r="U105" s="167" t="s">
        <v>430</v>
      </c>
      <c r="V105" s="167" t="s">
        <v>432</v>
      </c>
      <c r="W105" s="167" t="s">
        <v>427</v>
      </c>
      <c r="X105" s="167" t="s">
        <v>428</v>
      </c>
      <c r="Y105" s="167" t="s">
        <v>433</v>
      </c>
      <c r="Z105" s="167" t="s">
        <v>431</v>
      </c>
      <c r="AA105" s="167" t="s">
        <v>437</v>
      </c>
      <c r="AB105" s="169" t="s">
        <v>436</v>
      </c>
    </row>
    <row r="106" spans="6:28" ht="23.25" customHeight="1" x14ac:dyDescent="0.25">
      <c r="S106" s="168">
        <v>2806</v>
      </c>
      <c r="T106" s="168" t="s">
        <v>550</v>
      </c>
      <c r="U106" s="167" t="s">
        <v>433</v>
      </c>
      <c r="V106" s="167" t="s">
        <v>432</v>
      </c>
      <c r="W106" s="167" t="s">
        <v>427</v>
      </c>
      <c r="X106" s="167" t="s">
        <v>428</v>
      </c>
      <c r="Y106" s="167" t="s">
        <v>435</v>
      </c>
      <c r="Z106" s="167" t="s">
        <v>431</v>
      </c>
      <c r="AA106" s="167" t="s">
        <v>437</v>
      </c>
      <c r="AB106" s="169" t="s">
        <v>430</v>
      </c>
    </row>
    <row r="107" spans="6:28" ht="23.25" customHeight="1" x14ac:dyDescent="0.25">
      <c r="S107" s="168">
        <v>1782</v>
      </c>
      <c r="T107" s="168" t="s">
        <v>551</v>
      </c>
      <c r="U107" s="167" t="s">
        <v>433</v>
      </c>
      <c r="V107" s="167" t="s">
        <v>432</v>
      </c>
      <c r="W107" s="167" t="s">
        <v>427</v>
      </c>
      <c r="X107" s="167" t="s">
        <v>428</v>
      </c>
      <c r="Y107" s="167" t="s">
        <v>435</v>
      </c>
      <c r="Z107" s="167" t="s">
        <v>431</v>
      </c>
      <c r="AA107" s="167" t="s">
        <v>430</v>
      </c>
      <c r="AB107" s="169" t="s">
        <v>436</v>
      </c>
    </row>
    <row r="108" spans="6:28" ht="23.25" customHeight="1" x14ac:dyDescent="0.25">
      <c r="S108" s="168">
        <v>2550</v>
      </c>
      <c r="T108" s="168" t="s">
        <v>552</v>
      </c>
      <c r="U108" s="167" t="s">
        <v>430</v>
      </c>
      <c r="V108" s="167" t="s">
        <v>432</v>
      </c>
      <c r="W108" s="167" t="s">
        <v>427</v>
      </c>
      <c r="X108" s="167" t="s">
        <v>428</v>
      </c>
      <c r="Y108" s="167" t="s">
        <v>433</v>
      </c>
      <c r="Z108" s="167" t="s">
        <v>431</v>
      </c>
      <c r="AA108" s="167" t="s">
        <v>437</v>
      </c>
      <c r="AB108" s="169" t="s">
        <v>434</v>
      </c>
    </row>
    <row r="109" spans="6:28" ht="23.25" customHeight="1" x14ac:dyDescent="0.25">
      <c r="S109" s="168">
        <v>1526</v>
      </c>
      <c r="T109" s="168" t="s">
        <v>553</v>
      </c>
      <c r="U109" s="167" t="s">
        <v>430</v>
      </c>
      <c r="V109" s="167" t="s">
        <v>432</v>
      </c>
      <c r="W109" s="167" t="s">
        <v>427</v>
      </c>
      <c r="X109" s="167" t="s">
        <v>428</v>
      </c>
      <c r="Y109" s="167" t="s">
        <v>433</v>
      </c>
      <c r="Z109" s="167" t="s">
        <v>431</v>
      </c>
      <c r="AA109" s="167" t="s">
        <v>434</v>
      </c>
      <c r="AB109" s="169" t="s">
        <v>436</v>
      </c>
    </row>
    <row r="110" spans="6:28" ht="23.25" customHeight="1" x14ac:dyDescent="0.25">
      <c r="S110" s="168">
        <v>1014</v>
      </c>
      <c r="T110" s="168" t="s">
        <v>554</v>
      </c>
      <c r="U110" s="167" t="s">
        <v>433</v>
      </c>
      <c r="V110" s="167" t="s">
        <v>432</v>
      </c>
      <c r="W110" s="167" t="s">
        <v>427</v>
      </c>
      <c r="X110" s="167" t="s">
        <v>428</v>
      </c>
      <c r="Y110" s="167" t="s">
        <v>435</v>
      </c>
      <c r="Z110" s="167" t="s">
        <v>431</v>
      </c>
      <c r="AA110" s="167" t="s">
        <v>430</v>
      </c>
      <c r="AB110" s="169" t="s">
        <v>434</v>
      </c>
    </row>
    <row r="111" spans="6:28" ht="23.25" customHeight="1" x14ac:dyDescent="0.25">
      <c r="S111" s="168">
        <v>3982</v>
      </c>
      <c r="T111" s="168" t="s">
        <v>555</v>
      </c>
      <c r="U111" s="167" t="s">
        <v>433</v>
      </c>
      <c r="V111" s="167" t="s">
        <v>435</v>
      </c>
      <c r="W111" s="167" t="s">
        <v>427</v>
      </c>
      <c r="X111" s="167" t="s">
        <v>428</v>
      </c>
      <c r="Y111" s="167" t="s">
        <v>434</v>
      </c>
      <c r="Z111" s="167" t="s">
        <v>429</v>
      </c>
      <c r="AA111" s="167" t="s">
        <v>437</v>
      </c>
      <c r="AB111" s="169" t="s">
        <v>436</v>
      </c>
    </row>
    <row r="112" spans="6:28" ht="23.25" customHeight="1" x14ac:dyDescent="0.25">
      <c r="S112" s="168">
        <v>3918</v>
      </c>
      <c r="T112" s="168" t="s">
        <v>556</v>
      </c>
      <c r="U112" s="167" t="s">
        <v>434</v>
      </c>
      <c r="V112" s="167" t="s">
        <v>432</v>
      </c>
      <c r="W112" s="167" t="s">
        <v>427</v>
      </c>
      <c r="X112" s="167" t="s">
        <v>428</v>
      </c>
      <c r="Y112" s="167" t="s">
        <v>435</v>
      </c>
      <c r="Z112" s="167" t="s">
        <v>429</v>
      </c>
      <c r="AA112" s="167" t="s">
        <v>437</v>
      </c>
      <c r="AB112" s="169" t="s">
        <v>436</v>
      </c>
    </row>
    <row r="113" spans="19:28" ht="23.25" customHeight="1" x14ac:dyDescent="0.25">
      <c r="S113" s="168">
        <v>3790</v>
      </c>
      <c r="T113" s="168" t="s">
        <v>557</v>
      </c>
      <c r="U113" s="167" t="s">
        <v>433</v>
      </c>
      <c r="V113" s="167" t="s">
        <v>432</v>
      </c>
      <c r="W113" s="167" t="s">
        <v>427</v>
      </c>
      <c r="X113" s="167" t="s">
        <v>428</v>
      </c>
      <c r="Y113" s="167" t="s">
        <v>435</v>
      </c>
      <c r="Z113" s="167" t="s">
        <v>429</v>
      </c>
      <c r="AA113" s="167" t="s">
        <v>437</v>
      </c>
      <c r="AB113" s="169" t="s">
        <v>436</v>
      </c>
    </row>
    <row r="114" spans="19:28" ht="23.25" customHeight="1" x14ac:dyDescent="0.25">
      <c r="S114" s="168">
        <v>3534</v>
      </c>
      <c r="T114" s="168" t="s">
        <v>558</v>
      </c>
      <c r="U114" s="167" t="s">
        <v>433</v>
      </c>
      <c r="V114" s="167" t="s">
        <v>432</v>
      </c>
      <c r="W114" s="167" t="s">
        <v>427</v>
      </c>
      <c r="X114" s="167" t="s">
        <v>428</v>
      </c>
      <c r="Y114" s="167" t="s">
        <v>434</v>
      </c>
      <c r="Z114" s="167" t="s">
        <v>429</v>
      </c>
      <c r="AA114" s="167" t="s">
        <v>437</v>
      </c>
      <c r="AB114" s="169" t="s">
        <v>436</v>
      </c>
    </row>
    <row r="115" spans="19:28" ht="23.25" customHeight="1" x14ac:dyDescent="0.25">
      <c r="S115" s="168">
        <v>3022</v>
      </c>
      <c r="T115" s="168" t="s">
        <v>559</v>
      </c>
      <c r="U115" s="167" t="s">
        <v>433</v>
      </c>
      <c r="V115" s="167" t="s">
        <v>432</v>
      </c>
      <c r="W115" s="167" t="s">
        <v>427</v>
      </c>
      <c r="X115" s="167" t="s">
        <v>428</v>
      </c>
      <c r="Y115" s="167" t="s">
        <v>435</v>
      </c>
      <c r="Z115" s="167" t="s">
        <v>429</v>
      </c>
      <c r="AA115" s="167" t="s">
        <v>437</v>
      </c>
      <c r="AB115" s="169" t="s">
        <v>434</v>
      </c>
    </row>
    <row r="116" spans="19:28" ht="23.25" customHeight="1" x14ac:dyDescent="0.25">
      <c r="S116" s="168">
        <v>1998</v>
      </c>
      <c r="T116" s="168" t="s">
        <v>560</v>
      </c>
      <c r="U116" s="167" t="s">
        <v>433</v>
      </c>
      <c r="V116" s="167" t="s">
        <v>432</v>
      </c>
      <c r="W116" s="167" t="s">
        <v>427</v>
      </c>
      <c r="X116" s="167" t="s">
        <v>428</v>
      </c>
      <c r="Y116" s="167" t="s">
        <v>435</v>
      </c>
      <c r="Z116" s="167" t="s">
        <v>429</v>
      </c>
      <c r="AA116" s="167" t="s">
        <v>434</v>
      </c>
      <c r="AB116" s="169" t="s">
        <v>436</v>
      </c>
    </row>
    <row r="117" spans="19:28" ht="23.25" customHeight="1" x14ac:dyDescent="0.25">
      <c r="S117" s="168">
        <v>3886</v>
      </c>
      <c r="T117" s="168" t="s">
        <v>561</v>
      </c>
      <c r="U117" s="167" t="s">
        <v>428</v>
      </c>
      <c r="V117" s="167" t="s">
        <v>435</v>
      </c>
      <c r="W117" s="167" t="s">
        <v>427</v>
      </c>
      <c r="X117" s="167" t="s">
        <v>429</v>
      </c>
      <c r="Y117" s="167" t="s">
        <v>434</v>
      </c>
      <c r="Z117" s="167" t="s">
        <v>431</v>
      </c>
      <c r="AA117" s="167" t="s">
        <v>437</v>
      </c>
      <c r="AB117" s="169" t="s">
        <v>436</v>
      </c>
    </row>
    <row r="118" spans="19:28" ht="23.25" customHeight="1" x14ac:dyDescent="0.25">
      <c r="S118" s="168">
        <v>3758</v>
      </c>
      <c r="T118" s="168" t="s">
        <v>562</v>
      </c>
      <c r="U118" s="167" t="s">
        <v>428</v>
      </c>
      <c r="V118" s="167" t="s">
        <v>435</v>
      </c>
      <c r="W118" s="167" t="s">
        <v>427</v>
      </c>
      <c r="X118" s="167" t="s">
        <v>429</v>
      </c>
      <c r="Y118" s="167" t="s">
        <v>433</v>
      </c>
      <c r="Z118" s="167" t="s">
        <v>431</v>
      </c>
      <c r="AA118" s="167" t="s">
        <v>437</v>
      </c>
      <c r="AB118" s="169" t="s">
        <v>436</v>
      </c>
    </row>
    <row r="119" spans="19:28" ht="23.25" customHeight="1" x14ac:dyDescent="0.25">
      <c r="S119" s="168">
        <v>3502</v>
      </c>
      <c r="T119" s="168" t="s">
        <v>563</v>
      </c>
      <c r="U119" s="167" t="s">
        <v>428</v>
      </c>
      <c r="V119" s="167" t="s">
        <v>434</v>
      </c>
      <c r="W119" s="167" t="s">
        <v>427</v>
      </c>
      <c r="X119" s="167" t="s">
        <v>429</v>
      </c>
      <c r="Y119" s="167" t="s">
        <v>433</v>
      </c>
      <c r="Z119" s="167" t="s">
        <v>431</v>
      </c>
      <c r="AA119" s="167" t="s">
        <v>437</v>
      </c>
      <c r="AB119" s="169" t="s">
        <v>436</v>
      </c>
    </row>
    <row r="120" spans="19:28" ht="23.25" customHeight="1" x14ac:dyDescent="0.25">
      <c r="S120" s="168">
        <v>2990</v>
      </c>
      <c r="T120" s="168" t="s">
        <v>564</v>
      </c>
      <c r="U120" s="167" t="s">
        <v>428</v>
      </c>
      <c r="V120" s="167" t="s">
        <v>435</v>
      </c>
      <c r="W120" s="167" t="s">
        <v>427</v>
      </c>
      <c r="X120" s="167" t="s">
        <v>429</v>
      </c>
      <c r="Y120" s="167" t="s">
        <v>433</v>
      </c>
      <c r="Z120" s="167" t="s">
        <v>431</v>
      </c>
      <c r="AA120" s="167" t="s">
        <v>437</v>
      </c>
      <c r="AB120" s="169" t="s">
        <v>434</v>
      </c>
    </row>
    <row r="121" spans="19:28" ht="23.25" customHeight="1" x14ac:dyDescent="0.25">
      <c r="S121" s="168">
        <v>1966</v>
      </c>
      <c r="T121" s="168" t="s">
        <v>565</v>
      </c>
      <c r="U121" s="167" t="s">
        <v>428</v>
      </c>
      <c r="V121" s="167" t="s">
        <v>435</v>
      </c>
      <c r="W121" s="167" t="s">
        <v>427</v>
      </c>
      <c r="X121" s="167" t="s">
        <v>429</v>
      </c>
      <c r="Y121" s="167" t="s">
        <v>433</v>
      </c>
      <c r="Z121" s="167" t="s">
        <v>431</v>
      </c>
      <c r="AA121" s="167" t="s">
        <v>434</v>
      </c>
      <c r="AB121" s="169" t="s">
        <v>436</v>
      </c>
    </row>
    <row r="122" spans="19:28" ht="23.25" customHeight="1" x14ac:dyDescent="0.25">
      <c r="S122" s="168">
        <v>3694</v>
      </c>
      <c r="T122" s="168" t="s">
        <v>566</v>
      </c>
      <c r="U122" s="167" t="s">
        <v>428</v>
      </c>
      <c r="V122" s="167" t="s">
        <v>432</v>
      </c>
      <c r="W122" s="167" t="s">
        <v>427</v>
      </c>
      <c r="X122" s="167" t="s">
        <v>429</v>
      </c>
      <c r="Y122" s="167" t="s">
        <v>435</v>
      </c>
      <c r="Z122" s="167" t="s">
        <v>431</v>
      </c>
      <c r="AA122" s="167" t="s">
        <v>437</v>
      </c>
      <c r="AB122" s="169" t="s">
        <v>436</v>
      </c>
    </row>
    <row r="123" spans="19:28" ht="23.25" customHeight="1" x14ac:dyDescent="0.25">
      <c r="S123" s="168">
        <v>3438</v>
      </c>
      <c r="T123" s="168" t="s">
        <v>567</v>
      </c>
      <c r="U123" s="167" t="s">
        <v>428</v>
      </c>
      <c r="V123" s="167" t="s">
        <v>432</v>
      </c>
      <c r="W123" s="167" t="s">
        <v>427</v>
      </c>
      <c r="X123" s="167" t="s">
        <v>429</v>
      </c>
      <c r="Y123" s="167" t="s">
        <v>434</v>
      </c>
      <c r="Z123" s="167" t="s">
        <v>431</v>
      </c>
      <c r="AA123" s="167" t="s">
        <v>437</v>
      </c>
      <c r="AB123" s="169" t="s">
        <v>436</v>
      </c>
    </row>
    <row r="124" spans="19:28" ht="23.25" customHeight="1" x14ac:dyDescent="0.25">
      <c r="S124" s="168">
        <v>2926</v>
      </c>
      <c r="T124" s="168" t="s">
        <v>568</v>
      </c>
      <c r="U124" s="167" t="s">
        <v>428</v>
      </c>
      <c r="V124" s="167" t="s">
        <v>432</v>
      </c>
      <c r="W124" s="167" t="s">
        <v>427</v>
      </c>
      <c r="X124" s="167" t="s">
        <v>429</v>
      </c>
      <c r="Y124" s="167" t="s">
        <v>435</v>
      </c>
      <c r="Z124" s="167" t="s">
        <v>431</v>
      </c>
      <c r="AA124" s="167" t="s">
        <v>437</v>
      </c>
      <c r="AB124" s="169" t="s">
        <v>434</v>
      </c>
    </row>
    <row r="125" spans="19:28" ht="23.25" customHeight="1" x14ac:dyDescent="0.25">
      <c r="S125" s="168">
        <v>1902</v>
      </c>
      <c r="T125" s="168" t="s">
        <v>569</v>
      </c>
      <c r="U125" s="167" t="s">
        <v>428</v>
      </c>
      <c r="V125" s="167" t="s">
        <v>432</v>
      </c>
      <c r="W125" s="167" t="s">
        <v>427</v>
      </c>
      <c r="X125" s="167" t="s">
        <v>429</v>
      </c>
      <c r="Y125" s="167" t="s">
        <v>435</v>
      </c>
      <c r="Z125" s="167" t="s">
        <v>431</v>
      </c>
      <c r="AA125" s="167" t="s">
        <v>434</v>
      </c>
      <c r="AB125" s="169" t="s">
        <v>436</v>
      </c>
    </row>
    <row r="126" spans="19:28" ht="23.25" customHeight="1" x14ac:dyDescent="0.25">
      <c r="S126" s="168">
        <v>3310</v>
      </c>
      <c r="T126" s="168" t="s">
        <v>570</v>
      </c>
      <c r="U126" s="167" t="s">
        <v>428</v>
      </c>
      <c r="V126" s="167" t="s">
        <v>432</v>
      </c>
      <c r="W126" s="167" t="s">
        <v>427</v>
      </c>
      <c r="X126" s="167" t="s">
        <v>429</v>
      </c>
      <c r="Y126" s="167" t="s">
        <v>433</v>
      </c>
      <c r="Z126" s="167" t="s">
        <v>431</v>
      </c>
      <c r="AA126" s="167" t="s">
        <v>437</v>
      </c>
      <c r="AB126" s="169" t="s">
        <v>436</v>
      </c>
    </row>
    <row r="127" spans="19:28" ht="23.25" customHeight="1" x14ac:dyDescent="0.25">
      <c r="S127" s="168">
        <v>2798</v>
      </c>
      <c r="T127" s="168" t="s">
        <v>571</v>
      </c>
      <c r="U127" s="167" t="s">
        <v>428</v>
      </c>
      <c r="V127" s="167" t="s">
        <v>432</v>
      </c>
      <c r="W127" s="167" t="s">
        <v>427</v>
      </c>
      <c r="X127" s="167" t="s">
        <v>429</v>
      </c>
      <c r="Y127" s="167" t="s">
        <v>433</v>
      </c>
      <c r="Z127" s="167" t="s">
        <v>431</v>
      </c>
      <c r="AA127" s="167" t="s">
        <v>437</v>
      </c>
      <c r="AB127" s="169" t="s">
        <v>435</v>
      </c>
    </row>
    <row r="128" spans="19:28" ht="23.25" customHeight="1" x14ac:dyDescent="0.25">
      <c r="S128" s="168">
        <v>1774</v>
      </c>
      <c r="T128" s="168" t="s">
        <v>572</v>
      </c>
      <c r="U128" s="167" t="s">
        <v>433</v>
      </c>
      <c r="V128" s="167" t="s">
        <v>432</v>
      </c>
      <c r="W128" s="167" t="s">
        <v>427</v>
      </c>
      <c r="X128" s="167" t="s">
        <v>428</v>
      </c>
      <c r="Y128" s="167" t="s">
        <v>435</v>
      </c>
      <c r="Z128" s="167" t="s">
        <v>431</v>
      </c>
      <c r="AA128" s="167" t="s">
        <v>429</v>
      </c>
      <c r="AB128" s="169" t="s">
        <v>436</v>
      </c>
    </row>
    <row r="129" spans="19:28" ht="23.25" customHeight="1" x14ac:dyDescent="0.25">
      <c r="S129" s="168">
        <v>2542</v>
      </c>
      <c r="T129" s="168" t="s">
        <v>573</v>
      </c>
      <c r="U129" s="167" t="s">
        <v>428</v>
      </c>
      <c r="V129" s="167" t="s">
        <v>432</v>
      </c>
      <c r="W129" s="167" t="s">
        <v>427</v>
      </c>
      <c r="X129" s="167" t="s">
        <v>429</v>
      </c>
      <c r="Y129" s="167" t="s">
        <v>433</v>
      </c>
      <c r="Z129" s="167" t="s">
        <v>431</v>
      </c>
      <c r="AA129" s="167" t="s">
        <v>437</v>
      </c>
      <c r="AB129" s="169" t="s">
        <v>434</v>
      </c>
    </row>
    <row r="130" spans="19:28" ht="23.25" customHeight="1" x14ac:dyDescent="0.25">
      <c r="S130" s="168">
        <v>1518</v>
      </c>
      <c r="T130" s="168" t="s">
        <v>574</v>
      </c>
      <c r="U130" s="167" t="s">
        <v>428</v>
      </c>
      <c r="V130" s="167" t="s">
        <v>432</v>
      </c>
      <c r="W130" s="167" t="s">
        <v>427</v>
      </c>
      <c r="X130" s="167" t="s">
        <v>429</v>
      </c>
      <c r="Y130" s="167" t="s">
        <v>433</v>
      </c>
      <c r="Z130" s="167" t="s">
        <v>431</v>
      </c>
      <c r="AA130" s="167" t="s">
        <v>434</v>
      </c>
      <c r="AB130" s="169" t="s">
        <v>436</v>
      </c>
    </row>
    <row r="131" spans="19:28" ht="23.25" customHeight="1" x14ac:dyDescent="0.25">
      <c r="S131" s="168">
        <v>1006</v>
      </c>
      <c r="T131" s="168" t="s">
        <v>575</v>
      </c>
      <c r="U131" s="167" t="s">
        <v>433</v>
      </c>
      <c r="V131" s="167" t="s">
        <v>432</v>
      </c>
      <c r="W131" s="167" t="s">
        <v>427</v>
      </c>
      <c r="X131" s="167" t="s">
        <v>428</v>
      </c>
      <c r="Y131" s="167" t="s">
        <v>435</v>
      </c>
      <c r="Z131" s="167" t="s">
        <v>431</v>
      </c>
      <c r="AA131" s="167" t="s">
        <v>429</v>
      </c>
      <c r="AB131" s="169" t="s">
        <v>434</v>
      </c>
    </row>
    <row r="132" spans="19:28" ht="23.25" customHeight="1" x14ac:dyDescent="0.25">
      <c r="S132" s="168">
        <v>3870</v>
      </c>
      <c r="T132" s="168" t="s">
        <v>576</v>
      </c>
      <c r="U132" s="167" t="s">
        <v>430</v>
      </c>
      <c r="V132" s="167" t="s">
        <v>435</v>
      </c>
      <c r="W132" s="167" t="s">
        <v>427</v>
      </c>
      <c r="X132" s="167" t="s">
        <v>428</v>
      </c>
      <c r="Y132" s="167" t="s">
        <v>434</v>
      </c>
      <c r="Z132" s="167" t="s">
        <v>429</v>
      </c>
      <c r="AA132" s="167" t="s">
        <v>437</v>
      </c>
      <c r="AB132" s="169" t="s">
        <v>436</v>
      </c>
    </row>
    <row r="133" spans="19:28" ht="23.25" customHeight="1" x14ac:dyDescent="0.25">
      <c r="S133" s="168">
        <v>3742</v>
      </c>
      <c r="T133" s="168" t="s">
        <v>577</v>
      </c>
      <c r="U133" s="167" t="s">
        <v>430</v>
      </c>
      <c r="V133" s="167" t="s">
        <v>435</v>
      </c>
      <c r="W133" s="167" t="s">
        <v>427</v>
      </c>
      <c r="X133" s="167" t="s">
        <v>428</v>
      </c>
      <c r="Y133" s="167" t="s">
        <v>433</v>
      </c>
      <c r="Z133" s="167" t="s">
        <v>429</v>
      </c>
      <c r="AA133" s="167" t="s">
        <v>437</v>
      </c>
      <c r="AB133" s="169" t="s">
        <v>436</v>
      </c>
    </row>
    <row r="134" spans="19:28" ht="23.25" customHeight="1" x14ac:dyDescent="0.25">
      <c r="S134" s="168">
        <v>3486</v>
      </c>
      <c r="T134" s="168" t="s">
        <v>578</v>
      </c>
      <c r="U134" s="167" t="s">
        <v>430</v>
      </c>
      <c r="V134" s="167" t="s">
        <v>434</v>
      </c>
      <c r="W134" s="167" t="s">
        <v>427</v>
      </c>
      <c r="X134" s="167" t="s">
        <v>428</v>
      </c>
      <c r="Y134" s="167" t="s">
        <v>433</v>
      </c>
      <c r="Z134" s="167" t="s">
        <v>429</v>
      </c>
      <c r="AA134" s="167" t="s">
        <v>437</v>
      </c>
      <c r="AB134" s="169" t="s">
        <v>436</v>
      </c>
    </row>
    <row r="135" spans="19:28" ht="23.25" customHeight="1" x14ac:dyDescent="0.25">
      <c r="S135" s="168">
        <v>2974</v>
      </c>
      <c r="T135" s="168" t="s">
        <v>579</v>
      </c>
      <c r="U135" s="167" t="s">
        <v>430</v>
      </c>
      <c r="V135" s="167" t="s">
        <v>435</v>
      </c>
      <c r="W135" s="167" t="s">
        <v>427</v>
      </c>
      <c r="X135" s="167" t="s">
        <v>428</v>
      </c>
      <c r="Y135" s="167" t="s">
        <v>433</v>
      </c>
      <c r="Z135" s="167" t="s">
        <v>429</v>
      </c>
      <c r="AA135" s="167" t="s">
        <v>437</v>
      </c>
      <c r="AB135" s="169" t="s">
        <v>434</v>
      </c>
    </row>
    <row r="136" spans="19:28" ht="23.25" customHeight="1" x14ac:dyDescent="0.25">
      <c r="S136" s="168">
        <v>1950</v>
      </c>
      <c r="T136" s="168" t="s">
        <v>580</v>
      </c>
      <c r="U136" s="167" t="s">
        <v>430</v>
      </c>
      <c r="V136" s="167" t="s">
        <v>435</v>
      </c>
      <c r="W136" s="167" t="s">
        <v>427</v>
      </c>
      <c r="X136" s="167" t="s">
        <v>428</v>
      </c>
      <c r="Y136" s="167" t="s">
        <v>433</v>
      </c>
      <c r="Z136" s="167" t="s">
        <v>429</v>
      </c>
      <c r="AA136" s="167" t="s">
        <v>434</v>
      </c>
      <c r="AB136" s="169" t="s">
        <v>436</v>
      </c>
    </row>
    <row r="137" spans="19:28" ht="23.25" customHeight="1" x14ac:dyDescent="0.25">
      <c r="S137" s="168">
        <v>3678</v>
      </c>
      <c r="T137" s="168" t="s">
        <v>581</v>
      </c>
      <c r="U137" s="167" t="s">
        <v>430</v>
      </c>
      <c r="V137" s="167" t="s">
        <v>432</v>
      </c>
      <c r="W137" s="167" t="s">
        <v>427</v>
      </c>
      <c r="X137" s="167" t="s">
        <v>428</v>
      </c>
      <c r="Y137" s="167" t="s">
        <v>435</v>
      </c>
      <c r="Z137" s="167" t="s">
        <v>429</v>
      </c>
      <c r="AA137" s="167" t="s">
        <v>437</v>
      </c>
      <c r="AB137" s="169" t="s">
        <v>436</v>
      </c>
    </row>
    <row r="138" spans="19:28" ht="23.25" customHeight="1" x14ac:dyDescent="0.25">
      <c r="S138" s="168">
        <v>3422</v>
      </c>
      <c r="T138" s="168" t="s">
        <v>582</v>
      </c>
      <c r="U138" s="167" t="s">
        <v>430</v>
      </c>
      <c r="V138" s="167" t="s">
        <v>432</v>
      </c>
      <c r="W138" s="167" t="s">
        <v>427</v>
      </c>
      <c r="X138" s="167" t="s">
        <v>428</v>
      </c>
      <c r="Y138" s="167" t="s">
        <v>434</v>
      </c>
      <c r="Z138" s="167" t="s">
        <v>429</v>
      </c>
      <c r="AA138" s="167" t="s">
        <v>437</v>
      </c>
      <c r="AB138" s="169" t="s">
        <v>436</v>
      </c>
    </row>
    <row r="139" spans="19:28" ht="23.25" customHeight="1" x14ac:dyDescent="0.25">
      <c r="S139" s="168">
        <v>2910</v>
      </c>
      <c r="T139" s="168" t="s">
        <v>583</v>
      </c>
      <c r="U139" s="167" t="s">
        <v>430</v>
      </c>
      <c r="V139" s="167" t="s">
        <v>432</v>
      </c>
      <c r="W139" s="167" t="s">
        <v>427</v>
      </c>
      <c r="X139" s="167" t="s">
        <v>428</v>
      </c>
      <c r="Y139" s="167" t="s">
        <v>435</v>
      </c>
      <c r="Z139" s="167" t="s">
        <v>429</v>
      </c>
      <c r="AA139" s="167" t="s">
        <v>437</v>
      </c>
      <c r="AB139" s="169" t="s">
        <v>434</v>
      </c>
    </row>
    <row r="140" spans="19:28" ht="23.25" customHeight="1" x14ac:dyDescent="0.25">
      <c r="S140" s="168">
        <v>1886</v>
      </c>
      <c r="T140" s="168" t="s">
        <v>584</v>
      </c>
      <c r="U140" s="167" t="s">
        <v>430</v>
      </c>
      <c r="V140" s="167" t="s">
        <v>432</v>
      </c>
      <c r="W140" s="167" t="s">
        <v>427</v>
      </c>
      <c r="X140" s="167" t="s">
        <v>428</v>
      </c>
      <c r="Y140" s="167" t="s">
        <v>435</v>
      </c>
      <c r="Z140" s="167" t="s">
        <v>429</v>
      </c>
      <c r="AA140" s="167" t="s">
        <v>434</v>
      </c>
      <c r="AB140" s="169" t="s">
        <v>436</v>
      </c>
    </row>
    <row r="141" spans="19:28" ht="23.25" customHeight="1" x14ac:dyDescent="0.25">
      <c r="S141" s="168">
        <v>3294</v>
      </c>
      <c r="T141" s="168" t="s">
        <v>585</v>
      </c>
      <c r="U141" s="167" t="s">
        <v>430</v>
      </c>
      <c r="V141" s="167" t="s">
        <v>432</v>
      </c>
      <c r="W141" s="167" t="s">
        <v>427</v>
      </c>
      <c r="X141" s="167" t="s">
        <v>428</v>
      </c>
      <c r="Y141" s="167" t="s">
        <v>433</v>
      </c>
      <c r="Z141" s="167" t="s">
        <v>429</v>
      </c>
      <c r="AA141" s="167" t="s">
        <v>437</v>
      </c>
      <c r="AB141" s="169" t="s">
        <v>436</v>
      </c>
    </row>
    <row r="142" spans="19:28" ht="23.25" customHeight="1" x14ac:dyDescent="0.25">
      <c r="S142" s="168">
        <v>2782</v>
      </c>
      <c r="T142" s="168" t="s">
        <v>586</v>
      </c>
      <c r="U142" s="167" t="s">
        <v>433</v>
      </c>
      <c r="V142" s="167" t="s">
        <v>432</v>
      </c>
      <c r="W142" s="167" t="s">
        <v>427</v>
      </c>
      <c r="X142" s="167" t="s">
        <v>428</v>
      </c>
      <c r="Y142" s="167" t="s">
        <v>435</v>
      </c>
      <c r="Z142" s="167" t="s">
        <v>429</v>
      </c>
      <c r="AA142" s="167" t="s">
        <v>437</v>
      </c>
      <c r="AB142" s="169" t="s">
        <v>430</v>
      </c>
    </row>
    <row r="143" spans="19:28" ht="23.25" customHeight="1" x14ac:dyDescent="0.25">
      <c r="S143" s="168">
        <v>1758</v>
      </c>
      <c r="T143" s="168" t="s">
        <v>587</v>
      </c>
      <c r="U143" s="167" t="s">
        <v>433</v>
      </c>
      <c r="V143" s="167" t="s">
        <v>432</v>
      </c>
      <c r="W143" s="167" t="s">
        <v>427</v>
      </c>
      <c r="X143" s="167" t="s">
        <v>428</v>
      </c>
      <c r="Y143" s="167" t="s">
        <v>435</v>
      </c>
      <c r="Z143" s="167" t="s">
        <v>429</v>
      </c>
      <c r="AA143" s="167" t="s">
        <v>430</v>
      </c>
      <c r="AB143" s="169" t="s">
        <v>436</v>
      </c>
    </row>
    <row r="144" spans="19:28" ht="23.25" customHeight="1" x14ac:dyDescent="0.25">
      <c r="S144" s="168">
        <v>2526</v>
      </c>
      <c r="T144" s="168" t="s">
        <v>588</v>
      </c>
      <c r="U144" s="167" t="s">
        <v>430</v>
      </c>
      <c r="V144" s="167" t="s">
        <v>432</v>
      </c>
      <c r="W144" s="167" t="s">
        <v>427</v>
      </c>
      <c r="X144" s="167" t="s">
        <v>428</v>
      </c>
      <c r="Y144" s="167" t="s">
        <v>433</v>
      </c>
      <c r="Z144" s="167" t="s">
        <v>429</v>
      </c>
      <c r="AA144" s="167" t="s">
        <v>437</v>
      </c>
      <c r="AB144" s="169" t="s">
        <v>434</v>
      </c>
    </row>
    <row r="145" spans="19:28" ht="23.25" customHeight="1" x14ac:dyDescent="0.25">
      <c r="S145" s="168">
        <v>1502</v>
      </c>
      <c r="T145" s="168" t="s">
        <v>589</v>
      </c>
      <c r="U145" s="167" t="s">
        <v>430</v>
      </c>
      <c r="V145" s="167" t="s">
        <v>432</v>
      </c>
      <c r="W145" s="167" t="s">
        <v>427</v>
      </c>
      <c r="X145" s="167" t="s">
        <v>428</v>
      </c>
      <c r="Y145" s="167" t="s">
        <v>433</v>
      </c>
      <c r="Z145" s="167" t="s">
        <v>429</v>
      </c>
      <c r="AA145" s="167" t="s">
        <v>434</v>
      </c>
      <c r="AB145" s="169" t="s">
        <v>436</v>
      </c>
    </row>
    <row r="146" spans="19:28" ht="23.25" customHeight="1" x14ac:dyDescent="0.25">
      <c r="S146" s="168">
        <v>990</v>
      </c>
      <c r="T146" s="168" t="s">
        <v>590</v>
      </c>
      <c r="U146" s="167" t="s">
        <v>433</v>
      </c>
      <c r="V146" s="167" t="s">
        <v>432</v>
      </c>
      <c r="W146" s="167" t="s">
        <v>427</v>
      </c>
      <c r="X146" s="167" t="s">
        <v>428</v>
      </c>
      <c r="Y146" s="167" t="s">
        <v>435</v>
      </c>
      <c r="Z146" s="167" t="s">
        <v>429</v>
      </c>
      <c r="AA146" s="167" t="s">
        <v>430</v>
      </c>
      <c r="AB146" s="169" t="s">
        <v>434</v>
      </c>
    </row>
    <row r="147" spans="19:28" ht="23.25" customHeight="1" x14ac:dyDescent="0.25">
      <c r="S147" s="168">
        <v>3646</v>
      </c>
      <c r="T147" s="168" t="s">
        <v>591</v>
      </c>
      <c r="U147" s="167" t="s">
        <v>428</v>
      </c>
      <c r="V147" s="167" t="s">
        <v>435</v>
      </c>
      <c r="W147" s="167" t="s">
        <v>427</v>
      </c>
      <c r="X147" s="167" t="s">
        <v>429</v>
      </c>
      <c r="Y147" s="167" t="s">
        <v>430</v>
      </c>
      <c r="Z147" s="167" t="s">
        <v>431</v>
      </c>
      <c r="AA147" s="167" t="s">
        <v>437</v>
      </c>
      <c r="AB147" s="169" t="s">
        <v>436</v>
      </c>
    </row>
    <row r="148" spans="19:28" ht="23.25" customHeight="1" x14ac:dyDescent="0.25">
      <c r="S148" s="168">
        <v>3390</v>
      </c>
      <c r="T148" s="168" t="s">
        <v>592</v>
      </c>
      <c r="U148" s="167" t="s">
        <v>428</v>
      </c>
      <c r="V148" s="167" t="s">
        <v>430</v>
      </c>
      <c r="W148" s="167" t="s">
        <v>427</v>
      </c>
      <c r="X148" s="167" t="s">
        <v>429</v>
      </c>
      <c r="Y148" s="167" t="s">
        <v>434</v>
      </c>
      <c r="Z148" s="167" t="s">
        <v>431</v>
      </c>
      <c r="AA148" s="167" t="s">
        <v>437</v>
      </c>
      <c r="AB148" s="169" t="s">
        <v>436</v>
      </c>
    </row>
    <row r="149" spans="19:28" ht="23.25" customHeight="1" x14ac:dyDescent="0.25">
      <c r="S149" s="168">
        <v>2878</v>
      </c>
      <c r="T149" s="168" t="s">
        <v>593</v>
      </c>
      <c r="U149" s="167" t="s">
        <v>428</v>
      </c>
      <c r="V149" s="167" t="s">
        <v>435</v>
      </c>
      <c r="W149" s="167" t="s">
        <v>427</v>
      </c>
      <c r="X149" s="167" t="s">
        <v>429</v>
      </c>
      <c r="Y149" s="167" t="s">
        <v>430</v>
      </c>
      <c r="Z149" s="167" t="s">
        <v>431</v>
      </c>
      <c r="AA149" s="167" t="s">
        <v>437</v>
      </c>
      <c r="AB149" s="169" t="s">
        <v>434</v>
      </c>
    </row>
    <row r="150" spans="19:28" ht="23.25" customHeight="1" x14ac:dyDescent="0.25">
      <c r="S150" s="168">
        <v>1854</v>
      </c>
      <c r="T150" s="168" t="s">
        <v>594</v>
      </c>
      <c r="U150" s="167" t="s">
        <v>428</v>
      </c>
      <c r="V150" s="167" t="s">
        <v>435</v>
      </c>
      <c r="W150" s="167" t="s">
        <v>427</v>
      </c>
      <c r="X150" s="167" t="s">
        <v>429</v>
      </c>
      <c r="Y150" s="167" t="s">
        <v>430</v>
      </c>
      <c r="Z150" s="167" t="s">
        <v>431</v>
      </c>
      <c r="AA150" s="167" t="s">
        <v>434</v>
      </c>
      <c r="AB150" s="169" t="s">
        <v>436</v>
      </c>
    </row>
    <row r="151" spans="19:28" ht="23.25" customHeight="1" x14ac:dyDescent="0.25">
      <c r="S151" s="168">
        <v>3262</v>
      </c>
      <c r="T151" s="168" t="s">
        <v>595</v>
      </c>
      <c r="U151" s="167" t="s">
        <v>428</v>
      </c>
      <c r="V151" s="167" t="s">
        <v>430</v>
      </c>
      <c r="W151" s="167" t="s">
        <v>427</v>
      </c>
      <c r="X151" s="167" t="s">
        <v>429</v>
      </c>
      <c r="Y151" s="167" t="s">
        <v>433</v>
      </c>
      <c r="Z151" s="167" t="s">
        <v>431</v>
      </c>
      <c r="AA151" s="167" t="s">
        <v>437</v>
      </c>
      <c r="AB151" s="169" t="s">
        <v>436</v>
      </c>
    </row>
    <row r="152" spans="19:28" ht="23.25" customHeight="1" x14ac:dyDescent="0.25">
      <c r="S152" s="168">
        <v>2750</v>
      </c>
      <c r="T152" s="168" t="s">
        <v>596</v>
      </c>
      <c r="U152" s="167" t="s">
        <v>428</v>
      </c>
      <c r="V152" s="167" t="s">
        <v>435</v>
      </c>
      <c r="W152" s="167" t="s">
        <v>427</v>
      </c>
      <c r="X152" s="167" t="s">
        <v>429</v>
      </c>
      <c r="Y152" s="167" t="s">
        <v>433</v>
      </c>
      <c r="Z152" s="167" t="s">
        <v>431</v>
      </c>
      <c r="AA152" s="167" t="s">
        <v>437</v>
      </c>
      <c r="AB152" s="169" t="s">
        <v>430</v>
      </c>
    </row>
    <row r="153" spans="19:28" ht="23.25" customHeight="1" x14ac:dyDescent="0.25">
      <c r="S153" s="168">
        <v>1726</v>
      </c>
      <c r="T153" s="168" t="s">
        <v>597</v>
      </c>
      <c r="U153" s="167" t="s">
        <v>428</v>
      </c>
      <c r="V153" s="167" t="s">
        <v>435</v>
      </c>
      <c r="W153" s="167" t="s">
        <v>427</v>
      </c>
      <c r="X153" s="167" t="s">
        <v>429</v>
      </c>
      <c r="Y153" s="167" t="s">
        <v>433</v>
      </c>
      <c r="Z153" s="167" t="s">
        <v>431</v>
      </c>
      <c r="AA153" s="167" t="s">
        <v>430</v>
      </c>
      <c r="AB153" s="169" t="s">
        <v>436</v>
      </c>
    </row>
    <row r="154" spans="19:28" ht="23.25" customHeight="1" x14ac:dyDescent="0.25">
      <c r="S154" s="168">
        <v>2494</v>
      </c>
      <c r="T154" s="168" t="s">
        <v>598</v>
      </c>
      <c r="U154" s="167" t="s">
        <v>428</v>
      </c>
      <c r="V154" s="167" t="s">
        <v>430</v>
      </c>
      <c r="W154" s="167" t="s">
        <v>427</v>
      </c>
      <c r="X154" s="167" t="s">
        <v>429</v>
      </c>
      <c r="Y154" s="167" t="s">
        <v>433</v>
      </c>
      <c r="Z154" s="167" t="s">
        <v>431</v>
      </c>
      <c r="AA154" s="167" t="s">
        <v>437</v>
      </c>
      <c r="AB154" s="169" t="s">
        <v>434</v>
      </c>
    </row>
    <row r="155" spans="19:28" ht="23.25" customHeight="1" x14ac:dyDescent="0.25">
      <c r="S155" s="168">
        <v>1470</v>
      </c>
      <c r="T155" s="168" t="s">
        <v>599</v>
      </c>
      <c r="U155" s="167" t="s">
        <v>428</v>
      </c>
      <c r="V155" s="167" t="s">
        <v>430</v>
      </c>
      <c r="W155" s="167" t="s">
        <v>427</v>
      </c>
      <c r="X155" s="167" t="s">
        <v>429</v>
      </c>
      <c r="Y155" s="167" t="s">
        <v>433</v>
      </c>
      <c r="Z155" s="167" t="s">
        <v>431</v>
      </c>
      <c r="AA155" s="167" t="s">
        <v>434</v>
      </c>
      <c r="AB155" s="169" t="s">
        <v>436</v>
      </c>
    </row>
    <row r="156" spans="19:28" ht="23.25" customHeight="1" x14ac:dyDescent="0.25">
      <c r="S156" s="168">
        <v>958</v>
      </c>
      <c r="T156" s="168" t="s">
        <v>600</v>
      </c>
      <c r="U156" s="167" t="s">
        <v>428</v>
      </c>
      <c r="V156" s="167" t="s">
        <v>435</v>
      </c>
      <c r="W156" s="167" t="s">
        <v>427</v>
      </c>
      <c r="X156" s="167" t="s">
        <v>429</v>
      </c>
      <c r="Y156" s="167" t="s">
        <v>433</v>
      </c>
      <c r="Z156" s="167" t="s">
        <v>431</v>
      </c>
      <c r="AA156" s="167" t="s">
        <v>430</v>
      </c>
      <c r="AB156" s="169" t="s">
        <v>434</v>
      </c>
    </row>
    <row r="157" spans="19:28" ht="23.25" customHeight="1" x14ac:dyDescent="0.25">
      <c r="S157" s="168">
        <v>3198</v>
      </c>
      <c r="T157" s="168" t="s">
        <v>601</v>
      </c>
      <c r="U157" s="167" t="s">
        <v>428</v>
      </c>
      <c r="V157" s="167" t="s">
        <v>432</v>
      </c>
      <c r="W157" s="167" t="s">
        <v>427</v>
      </c>
      <c r="X157" s="167" t="s">
        <v>429</v>
      </c>
      <c r="Y157" s="167" t="s">
        <v>430</v>
      </c>
      <c r="Z157" s="167" t="s">
        <v>431</v>
      </c>
      <c r="AA157" s="167" t="s">
        <v>437</v>
      </c>
      <c r="AB157" s="169" t="s">
        <v>436</v>
      </c>
    </row>
    <row r="158" spans="19:28" ht="23.25" customHeight="1" x14ac:dyDescent="0.25">
      <c r="S158" s="168">
        <v>2686</v>
      </c>
      <c r="T158" s="168" t="s">
        <v>602</v>
      </c>
      <c r="U158" s="167" t="s">
        <v>428</v>
      </c>
      <c r="V158" s="167" t="s">
        <v>432</v>
      </c>
      <c r="W158" s="167" t="s">
        <v>427</v>
      </c>
      <c r="X158" s="167" t="s">
        <v>429</v>
      </c>
      <c r="Y158" s="167" t="s">
        <v>435</v>
      </c>
      <c r="Z158" s="167" t="s">
        <v>431</v>
      </c>
      <c r="AA158" s="167" t="s">
        <v>437</v>
      </c>
      <c r="AB158" s="169" t="s">
        <v>430</v>
      </c>
    </row>
    <row r="159" spans="19:28" ht="23.25" customHeight="1" x14ac:dyDescent="0.25">
      <c r="S159" s="168">
        <v>1662</v>
      </c>
      <c r="T159" s="168" t="s">
        <v>603</v>
      </c>
      <c r="U159" s="167" t="s">
        <v>428</v>
      </c>
      <c r="V159" s="167" t="s">
        <v>432</v>
      </c>
      <c r="W159" s="167" t="s">
        <v>427</v>
      </c>
      <c r="X159" s="167" t="s">
        <v>429</v>
      </c>
      <c r="Y159" s="167" t="s">
        <v>435</v>
      </c>
      <c r="Z159" s="167" t="s">
        <v>431</v>
      </c>
      <c r="AA159" s="167" t="s">
        <v>430</v>
      </c>
      <c r="AB159" s="169" t="s">
        <v>436</v>
      </c>
    </row>
    <row r="160" spans="19:28" ht="23.25" customHeight="1" x14ac:dyDescent="0.25">
      <c r="S160" s="168">
        <v>2430</v>
      </c>
      <c r="T160" s="168" t="s">
        <v>604</v>
      </c>
      <c r="U160" s="167" t="s">
        <v>428</v>
      </c>
      <c r="V160" s="167" t="s">
        <v>432</v>
      </c>
      <c r="W160" s="167" t="s">
        <v>427</v>
      </c>
      <c r="X160" s="167" t="s">
        <v>429</v>
      </c>
      <c r="Y160" s="167" t="s">
        <v>430</v>
      </c>
      <c r="Z160" s="167" t="s">
        <v>431</v>
      </c>
      <c r="AA160" s="167" t="s">
        <v>437</v>
      </c>
      <c r="AB160" s="169" t="s">
        <v>434</v>
      </c>
    </row>
    <row r="161" spans="19:28" ht="23.25" customHeight="1" x14ac:dyDescent="0.25">
      <c r="S161" s="168">
        <v>1406</v>
      </c>
      <c r="T161" s="168" t="s">
        <v>605</v>
      </c>
      <c r="U161" s="167" t="s">
        <v>428</v>
      </c>
      <c r="V161" s="167" t="s">
        <v>432</v>
      </c>
      <c r="W161" s="167" t="s">
        <v>427</v>
      </c>
      <c r="X161" s="167" t="s">
        <v>429</v>
      </c>
      <c r="Y161" s="167" t="s">
        <v>430</v>
      </c>
      <c r="Z161" s="167" t="s">
        <v>431</v>
      </c>
      <c r="AA161" s="167" t="s">
        <v>434</v>
      </c>
      <c r="AB161" s="169" t="s">
        <v>436</v>
      </c>
    </row>
    <row r="162" spans="19:28" ht="23.25" customHeight="1" x14ac:dyDescent="0.25">
      <c r="S162" s="168">
        <v>894</v>
      </c>
      <c r="T162" s="168" t="s">
        <v>606</v>
      </c>
      <c r="U162" s="167" t="s">
        <v>428</v>
      </c>
      <c r="V162" s="167" t="s">
        <v>432</v>
      </c>
      <c r="W162" s="167" t="s">
        <v>427</v>
      </c>
      <c r="X162" s="167" t="s">
        <v>429</v>
      </c>
      <c r="Y162" s="167" t="s">
        <v>435</v>
      </c>
      <c r="Z162" s="167" t="s">
        <v>431</v>
      </c>
      <c r="AA162" s="167" t="s">
        <v>430</v>
      </c>
      <c r="AB162" s="169" t="s">
        <v>434</v>
      </c>
    </row>
    <row r="163" spans="19:28" ht="23.25" customHeight="1" x14ac:dyDescent="0.25">
      <c r="S163" s="168">
        <v>2302</v>
      </c>
      <c r="T163" s="168" t="s">
        <v>607</v>
      </c>
      <c r="U163" s="167" t="s">
        <v>428</v>
      </c>
      <c r="V163" s="167" t="s">
        <v>432</v>
      </c>
      <c r="W163" s="167" t="s">
        <v>427</v>
      </c>
      <c r="X163" s="167" t="s">
        <v>429</v>
      </c>
      <c r="Y163" s="167" t="s">
        <v>433</v>
      </c>
      <c r="Z163" s="167" t="s">
        <v>431</v>
      </c>
      <c r="AA163" s="167" t="s">
        <v>437</v>
      </c>
      <c r="AB163" s="169" t="s">
        <v>430</v>
      </c>
    </row>
    <row r="164" spans="19:28" ht="23.25" customHeight="1" x14ac:dyDescent="0.25">
      <c r="S164" s="168">
        <v>1278</v>
      </c>
      <c r="T164" s="168" t="s">
        <v>608</v>
      </c>
      <c r="U164" s="167" t="s">
        <v>428</v>
      </c>
      <c r="V164" s="167" t="s">
        <v>432</v>
      </c>
      <c r="W164" s="167" t="s">
        <v>427</v>
      </c>
      <c r="X164" s="167" t="s">
        <v>429</v>
      </c>
      <c r="Y164" s="167" t="s">
        <v>433</v>
      </c>
      <c r="Z164" s="167" t="s">
        <v>431</v>
      </c>
      <c r="AA164" s="167" t="s">
        <v>430</v>
      </c>
      <c r="AB164" s="169" t="s">
        <v>436</v>
      </c>
    </row>
    <row r="165" spans="19:28" ht="23.25" customHeight="1" x14ac:dyDescent="0.25">
      <c r="S165" s="168">
        <v>766</v>
      </c>
      <c r="T165" s="168" t="s">
        <v>609</v>
      </c>
      <c r="U165" s="167" t="s">
        <v>433</v>
      </c>
      <c r="V165" s="167" t="s">
        <v>432</v>
      </c>
      <c r="W165" s="167" t="s">
        <v>427</v>
      </c>
      <c r="X165" s="167" t="s">
        <v>428</v>
      </c>
      <c r="Y165" s="167" t="s">
        <v>435</v>
      </c>
      <c r="Z165" s="167" t="s">
        <v>431</v>
      </c>
      <c r="AA165" s="167" t="s">
        <v>429</v>
      </c>
      <c r="AB165" s="169" t="s">
        <v>430</v>
      </c>
    </row>
    <row r="166" spans="19:28" ht="23.25" customHeight="1" x14ac:dyDescent="0.25">
      <c r="S166" s="168">
        <v>510</v>
      </c>
      <c r="T166" s="168" t="s">
        <v>610</v>
      </c>
      <c r="U166" s="167" t="s">
        <v>428</v>
      </c>
      <c r="V166" s="167" t="s">
        <v>432</v>
      </c>
      <c r="W166" s="167" t="s">
        <v>427</v>
      </c>
      <c r="X166" s="167" t="s">
        <v>429</v>
      </c>
      <c r="Y166" s="167" t="s">
        <v>433</v>
      </c>
      <c r="Z166" s="167" t="s">
        <v>431</v>
      </c>
      <c r="AA166" s="167" t="s">
        <v>430</v>
      </c>
      <c r="AB166" s="169" t="s">
        <v>434</v>
      </c>
    </row>
    <row r="167" spans="19:28" ht="23.25" customHeight="1" x14ac:dyDescent="0.25">
      <c r="S167" s="168">
        <v>4065</v>
      </c>
      <c r="T167" s="168" t="s">
        <v>611</v>
      </c>
      <c r="U167" s="167" t="s">
        <v>433</v>
      </c>
      <c r="V167" s="167" t="s">
        <v>435</v>
      </c>
      <c r="W167" s="167" t="s">
        <v>434</v>
      </c>
      <c r="X167" s="167" t="s">
        <v>431</v>
      </c>
      <c r="Y167" s="167" t="s">
        <v>426</v>
      </c>
      <c r="Z167" s="167" t="s">
        <v>432</v>
      </c>
      <c r="AA167" s="167" t="s">
        <v>437</v>
      </c>
      <c r="AB167" s="169" t="s">
        <v>436</v>
      </c>
    </row>
    <row r="168" spans="19:28" ht="23.25" customHeight="1" x14ac:dyDescent="0.25">
      <c r="S168" s="168">
        <v>4049</v>
      </c>
      <c r="T168" s="168" t="s">
        <v>612</v>
      </c>
      <c r="U168" s="167" t="s">
        <v>430</v>
      </c>
      <c r="V168" s="167" t="s">
        <v>435</v>
      </c>
      <c r="W168" s="167" t="s">
        <v>434</v>
      </c>
      <c r="X168" s="167" t="s">
        <v>426</v>
      </c>
      <c r="Y168" s="167" t="s">
        <v>433</v>
      </c>
      <c r="Z168" s="167" t="s">
        <v>432</v>
      </c>
      <c r="AA168" s="167" t="s">
        <v>437</v>
      </c>
      <c r="AB168" s="169" t="s">
        <v>436</v>
      </c>
    </row>
    <row r="169" spans="19:28" ht="23.25" customHeight="1" x14ac:dyDescent="0.25">
      <c r="S169" s="168">
        <v>4017</v>
      </c>
      <c r="T169" s="168" t="s">
        <v>613</v>
      </c>
      <c r="U169" s="167" t="s">
        <v>430</v>
      </c>
      <c r="V169" s="167" t="s">
        <v>435</v>
      </c>
      <c r="W169" s="167" t="s">
        <v>434</v>
      </c>
      <c r="X169" s="167" t="s">
        <v>431</v>
      </c>
      <c r="Y169" s="167" t="s">
        <v>426</v>
      </c>
      <c r="Z169" s="167" t="s">
        <v>433</v>
      </c>
      <c r="AA169" s="167" t="s">
        <v>437</v>
      </c>
      <c r="AB169" s="169" t="s">
        <v>436</v>
      </c>
    </row>
    <row r="170" spans="19:28" ht="23.25" customHeight="1" x14ac:dyDescent="0.25">
      <c r="S170" s="168">
        <v>3953</v>
      </c>
      <c r="T170" s="168" t="s">
        <v>614</v>
      </c>
      <c r="U170" s="167" t="s">
        <v>430</v>
      </c>
      <c r="V170" s="167" t="s">
        <v>435</v>
      </c>
      <c r="W170" s="167" t="s">
        <v>434</v>
      </c>
      <c r="X170" s="167" t="s">
        <v>431</v>
      </c>
      <c r="Y170" s="167" t="s">
        <v>426</v>
      </c>
      <c r="Z170" s="167" t="s">
        <v>432</v>
      </c>
      <c r="AA170" s="167" t="s">
        <v>437</v>
      </c>
      <c r="AB170" s="169" t="s">
        <v>436</v>
      </c>
    </row>
    <row r="171" spans="19:28" ht="23.25" customHeight="1" x14ac:dyDescent="0.25">
      <c r="S171" s="168">
        <v>3825</v>
      </c>
      <c r="T171" s="168" t="s">
        <v>615</v>
      </c>
      <c r="U171" s="167" t="s">
        <v>430</v>
      </c>
      <c r="V171" s="167" t="s">
        <v>432</v>
      </c>
      <c r="W171" s="167" t="s">
        <v>435</v>
      </c>
      <c r="X171" s="167" t="s">
        <v>431</v>
      </c>
      <c r="Y171" s="167" t="s">
        <v>426</v>
      </c>
      <c r="Z171" s="167" t="s">
        <v>433</v>
      </c>
      <c r="AA171" s="167" t="s">
        <v>437</v>
      </c>
      <c r="AB171" s="169" t="s">
        <v>436</v>
      </c>
    </row>
    <row r="172" spans="19:28" ht="23.25" customHeight="1" x14ac:dyDescent="0.25">
      <c r="S172" s="168">
        <v>3569</v>
      </c>
      <c r="T172" s="168" t="s">
        <v>616</v>
      </c>
      <c r="U172" s="167" t="s">
        <v>430</v>
      </c>
      <c r="V172" s="167" t="s">
        <v>432</v>
      </c>
      <c r="W172" s="167" t="s">
        <v>434</v>
      </c>
      <c r="X172" s="167" t="s">
        <v>431</v>
      </c>
      <c r="Y172" s="167" t="s">
        <v>426</v>
      </c>
      <c r="Z172" s="167" t="s">
        <v>433</v>
      </c>
      <c r="AA172" s="167" t="s">
        <v>437</v>
      </c>
      <c r="AB172" s="169" t="s">
        <v>436</v>
      </c>
    </row>
    <row r="173" spans="19:28" ht="23.25" customHeight="1" x14ac:dyDescent="0.25">
      <c r="S173" s="168">
        <v>3057</v>
      </c>
      <c r="T173" s="168" t="s">
        <v>617</v>
      </c>
      <c r="U173" s="167" t="s">
        <v>430</v>
      </c>
      <c r="V173" s="167" t="s">
        <v>432</v>
      </c>
      <c r="W173" s="167" t="s">
        <v>435</v>
      </c>
      <c r="X173" s="167" t="s">
        <v>431</v>
      </c>
      <c r="Y173" s="167" t="s">
        <v>426</v>
      </c>
      <c r="Z173" s="167" t="s">
        <v>433</v>
      </c>
      <c r="AA173" s="167" t="s">
        <v>437</v>
      </c>
      <c r="AB173" s="169" t="s">
        <v>434</v>
      </c>
    </row>
    <row r="174" spans="19:28" ht="23.25" customHeight="1" x14ac:dyDescent="0.25">
      <c r="S174" s="168">
        <v>2033</v>
      </c>
      <c r="T174" s="168" t="s">
        <v>618</v>
      </c>
      <c r="U174" s="167" t="s">
        <v>430</v>
      </c>
      <c r="V174" s="167" t="s">
        <v>432</v>
      </c>
      <c r="W174" s="167" t="s">
        <v>435</v>
      </c>
      <c r="X174" s="167" t="s">
        <v>431</v>
      </c>
      <c r="Y174" s="167" t="s">
        <v>426</v>
      </c>
      <c r="Z174" s="167" t="s">
        <v>433</v>
      </c>
      <c r="AA174" s="167" t="s">
        <v>434</v>
      </c>
      <c r="AB174" s="169" t="s">
        <v>436</v>
      </c>
    </row>
    <row r="175" spans="19:28" ht="23.25" customHeight="1" x14ac:dyDescent="0.25">
      <c r="S175" s="168">
        <v>4041</v>
      </c>
      <c r="T175" s="168" t="s">
        <v>619</v>
      </c>
      <c r="U175" s="167" t="s">
        <v>433</v>
      </c>
      <c r="V175" s="167" t="s">
        <v>435</v>
      </c>
      <c r="W175" s="167" t="s">
        <v>434</v>
      </c>
      <c r="X175" s="167" t="s">
        <v>429</v>
      </c>
      <c r="Y175" s="167" t="s">
        <v>426</v>
      </c>
      <c r="Z175" s="167" t="s">
        <v>432</v>
      </c>
      <c r="AA175" s="167" t="s">
        <v>437</v>
      </c>
      <c r="AB175" s="169" t="s">
        <v>436</v>
      </c>
    </row>
    <row r="176" spans="19:28" ht="23.25" customHeight="1" x14ac:dyDescent="0.25">
      <c r="S176" s="168">
        <v>4009</v>
      </c>
      <c r="T176" s="168" t="s">
        <v>620</v>
      </c>
      <c r="U176" s="167" t="s">
        <v>433</v>
      </c>
      <c r="V176" s="167" t="s">
        <v>435</v>
      </c>
      <c r="W176" s="167" t="s">
        <v>434</v>
      </c>
      <c r="X176" s="167" t="s">
        <v>429</v>
      </c>
      <c r="Y176" s="167" t="s">
        <v>426</v>
      </c>
      <c r="Z176" s="167" t="s">
        <v>431</v>
      </c>
      <c r="AA176" s="167" t="s">
        <v>437</v>
      </c>
      <c r="AB176" s="169" t="s">
        <v>436</v>
      </c>
    </row>
    <row r="177" spans="19:28" ht="23.25" customHeight="1" x14ac:dyDescent="0.25">
      <c r="S177" s="168">
        <v>3945</v>
      </c>
      <c r="T177" s="168" t="s">
        <v>621</v>
      </c>
      <c r="U177" s="167" t="s">
        <v>434</v>
      </c>
      <c r="V177" s="167" t="s">
        <v>432</v>
      </c>
      <c r="W177" s="167" t="s">
        <v>435</v>
      </c>
      <c r="X177" s="167" t="s">
        <v>429</v>
      </c>
      <c r="Y177" s="167" t="s">
        <v>426</v>
      </c>
      <c r="Z177" s="167" t="s">
        <v>431</v>
      </c>
      <c r="AA177" s="167" t="s">
        <v>437</v>
      </c>
      <c r="AB177" s="169" t="s">
        <v>436</v>
      </c>
    </row>
    <row r="178" spans="19:28" ht="23.25" customHeight="1" x14ac:dyDescent="0.25">
      <c r="S178" s="168">
        <v>3817</v>
      </c>
      <c r="T178" s="168" t="s">
        <v>622</v>
      </c>
      <c r="U178" s="167" t="s">
        <v>433</v>
      </c>
      <c r="V178" s="167" t="s">
        <v>432</v>
      </c>
      <c r="W178" s="167" t="s">
        <v>435</v>
      </c>
      <c r="X178" s="167" t="s">
        <v>429</v>
      </c>
      <c r="Y178" s="167" t="s">
        <v>426</v>
      </c>
      <c r="Z178" s="167" t="s">
        <v>431</v>
      </c>
      <c r="AA178" s="167" t="s">
        <v>437</v>
      </c>
      <c r="AB178" s="169" t="s">
        <v>436</v>
      </c>
    </row>
    <row r="179" spans="19:28" ht="23.25" customHeight="1" x14ac:dyDescent="0.25">
      <c r="S179" s="168">
        <v>3561</v>
      </c>
      <c r="T179" s="168" t="s">
        <v>623</v>
      </c>
      <c r="U179" s="167" t="s">
        <v>433</v>
      </c>
      <c r="V179" s="167" t="s">
        <v>432</v>
      </c>
      <c r="W179" s="167" t="s">
        <v>434</v>
      </c>
      <c r="X179" s="167" t="s">
        <v>429</v>
      </c>
      <c r="Y179" s="167" t="s">
        <v>426</v>
      </c>
      <c r="Z179" s="167" t="s">
        <v>431</v>
      </c>
      <c r="AA179" s="167" t="s">
        <v>437</v>
      </c>
      <c r="AB179" s="169" t="s">
        <v>436</v>
      </c>
    </row>
    <row r="180" spans="19:28" ht="23.25" customHeight="1" x14ac:dyDescent="0.25">
      <c r="S180" s="168">
        <v>3049</v>
      </c>
      <c r="T180" s="168" t="s">
        <v>624</v>
      </c>
      <c r="U180" s="167" t="s">
        <v>433</v>
      </c>
      <c r="V180" s="167" t="s">
        <v>432</v>
      </c>
      <c r="W180" s="167" t="s">
        <v>435</v>
      </c>
      <c r="X180" s="167" t="s">
        <v>429</v>
      </c>
      <c r="Y180" s="167" t="s">
        <v>426</v>
      </c>
      <c r="Z180" s="167" t="s">
        <v>431</v>
      </c>
      <c r="AA180" s="167" t="s">
        <v>437</v>
      </c>
      <c r="AB180" s="169" t="s">
        <v>434</v>
      </c>
    </row>
    <row r="181" spans="19:28" ht="23.25" customHeight="1" x14ac:dyDescent="0.25">
      <c r="S181" s="168">
        <v>2025</v>
      </c>
      <c r="T181" s="168" t="s">
        <v>625</v>
      </c>
      <c r="U181" s="167" t="s">
        <v>433</v>
      </c>
      <c r="V181" s="167" t="s">
        <v>432</v>
      </c>
      <c r="W181" s="167" t="s">
        <v>435</v>
      </c>
      <c r="X181" s="167" t="s">
        <v>429</v>
      </c>
      <c r="Y181" s="167" t="s">
        <v>426</v>
      </c>
      <c r="Z181" s="167" t="s">
        <v>431</v>
      </c>
      <c r="AA181" s="167" t="s">
        <v>434</v>
      </c>
      <c r="AB181" s="169" t="s">
        <v>436</v>
      </c>
    </row>
    <row r="182" spans="19:28" ht="23.25" customHeight="1" x14ac:dyDescent="0.25">
      <c r="S182" s="168">
        <v>3993</v>
      </c>
      <c r="T182" s="168" t="s">
        <v>626</v>
      </c>
      <c r="U182" s="167" t="s">
        <v>430</v>
      </c>
      <c r="V182" s="167" t="s">
        <v>435</v>
      </c>
      <c r="W182" s="167" t="s">
        <v>434</v>
      </c>
      <c r="X182" s="167" t="s">
        <v>429</v>
      </c>
      <c r="Y182" s="167" t="s">
        <v>426</v>
      </c>
      <c r="Z182" s="167" t="s">
        <v>433</v>
      </c>
      <c r="AA182" s="167" t="s">
        <v>437</v>
      </c>
      <c r="AB182" s="169" t="s">
        <v>436</v>
      </c>
    </row>
    <row r="183" spans="19:28" ht="23.25" customHeight="1" x14ac:dyDescent="0.25">
      <c r="S183" s="168">
        <v>3929</v>
      </c>
      <c r="T183" s="168" t="s">
        <v>627</v>
      </c>
      <c r="U183" s="167" t="s">
        <v>430</v>
      </c>
      <c r="V183" s="167" t="s">
        <v>435</v>
      </c>
      <c r="W183" s="167" t="s">
        <v>434</v>
      </c>
      <c r="X183" s="167" t="s">
        <v>429</v>
      </c>
      <c r="Y183" s="167" t="s">
        <v>426</v>
      </c>
      <c r="Z183" s="167" t="s">
        <v>432</v>
      </c>
      <c r="AA183" s="167" t="s">
        <v>437</v>
      </c>
      <c r="AB183" s="169" t="s">
        <v>436</v>
      </c>
    </row>
    <row r="184" spans="19:28" ht="23.25" customHeight="1" x14ac:dyDescent="0.25">
      <c r="S184" s="168">
        <v>3801</v>
      </c>
      <c r="T184" s="168" t="s">
        <v>628</v>
      </c>
      <c r="U184" s="167" t="s">
        <v>430</v>
      </c>
      <c r="V184" s="167" t="s">
        <v>432</v>
      </c>
      <c r="W184" s="167" t="s">
        <v>435</v>
      </c>
      <c r="X184" s="167" t="s">
        <v>429</v>
      </c>
      <c r="Y184" s="167" t="s">
        <v>426</v>
      </c>
      <c r="Z184" s="167" t="s">
        <v>433</v>
      </c>
      <c r="AA184" s="167" t="s">
        <v>437</v>
      </c>
      <c r="AB184" s="169" t="s">
        <v>436</v>
      </c>
    </row>
    <row r="185" spans="19:28" ht="23.25" customHeight="1" x14ac:dyDescent="0.25">
      <c r="S185" s="168">
        <v>3545</v>
      </c>
      <c r="T185" s="168" t="s">
        <v>629</v>
      </c>
      <c r="U185" s="167" t="s">
        <v>430</v>
      </c>
      <c r="V185" s="167" t="s">
        <v>432</v>
      </c>
      <c r="W185" s="167" t="s">
        <v>434</v>
      </c>
      <c r="X185" s="167" t="s">
        <v>429</v>
      </c>
      <c r="Y185" s="167" t="s">
        <v>426</v>
      </c>
      <c r="Z185" s="167" t="s">
        <v>433</v>
      </c>
      <c r="AA185" s="167" t="s">
        <v>437</v>
      </c>
      <c r="AB185" s="169" t="s">
        <v>436</v>
      </c>
    </row>
    <row r="186" spans="19:28" ht="23.25" customHeight="1" x14ac:dyDescent="0.25">
      <c r="S186" s="168">
        <v>3033</v>
      </c>
      <c r="T186" s="168" t="s">
        <v>630</v>
      </c>
      <c r="U186" s="167" t="s">
        <v>430</v>
      </c>
      <c r="V186" s="167" t="s">
        <v>432</v>
      </c>
      <c r="W186" s="167" t="s">
        <v>435</v>
      </c>
      <c r="X186" s="167" t="s">
        <v>429</v>
      </c>
      <c r="Y186" s="167" t="s">
        <v>426</v>
      </c>
      <c r="Z186" s="167" t="s">
        <v>433</v>
      </c>
      <c r="AA186" s="167" t="s">
        <v>437</v>
      </c>
      <c r="AB186" s="169" t="s">
        <v>434</v>
      </c>
    </row>
    <row r="187" spans="19:28" ht="23.25" customHeight="1" x14ac:dyDescent="0.25">
      <c r="S187" s="168">
        <v>2009</v>
      </c>
      <c r="T187" s="168" t="s">
        <v>631</v>
      </c>
      <c r="U187" s="167" t="s">
        <v>430</v>
      </c>
      <c r="V187" s="167" t="s">
        <v>432</v>
      </c>
      <c r="W187" s="167" t="s">
        <v>435</v>
      </c>
      <c r="X187" s="167" t="s">
        <v>429</v>
      </c>
      <c r="Y187" s="167" t="s">
        <v>426</v>
      </c>
      <c r="Z187" s="167" t="s">
        <v>433</v>
      </c>
      <c r="AA187" s="167" t="s">
        <v>434</v>
      </c>
      <c r="AB187" s="169" t="s">
        <v>436</v>
      </c>
    </row>
    <row r="188" spans="19:28" ht="23.25" customHeight="1" x14ac:dyDescent="0.25">
      <c r="S188" s="168">
        <v>3897</v>
      </c>
      <c r="T188" s="168" t="s">
        <v>632</v>
      </c>
      <c r="U188" s="167" t="s">
        <v>430</v>
      </c>
      <c r="V188" s="167" t="s">
        <v>435</v>
      </c>
      <c r="W188" s="167" t="s">
        <v>434</v>
      </c>
      <c r="X188" s="167" t="s">
        <v>429</v>
      </c>
      <c r="Y188" s="167" t="s">
        <v>426</v>
      </c>
      <c r="Z188" s="167" t="s">
        <v>431</v>
      </c>
      <c r="AA188" s="167" t="s">
        <v>437</v>
      </c>
      <c r="AB188" s="169" t="s">
        <v>436</v>
      </c>
    </row>
    <row r="189" spans="19:28" ht="23.25" customHeight="1" x14ac:dyDescent="0.25">
      <c r="S189" s="168">
        <v>3769</v>
      </c>
      <c r="T189" s="168" t="s">
        <v>633</v>
      </c>
      <c r="U189" s="167" t="s">
        <v>433</v>
      </c>
      <c r="V189" s="167" t="s">
        <v>435</v>
      </c>
      <c r="W189" s="167" t="s">
        <v>430</v>
      </c>
      <c r="X189" s="167" t="s">
        <v>429</v>
      </c>
      <c r="Y189" s="167" t="s">
        <v>426</v>
      </c>
      <c r="Z189" s="167" t="s">
        <v>431</v>
      </c>
      <c r="AA189" s="167" t="s">
        <v>437</v>
      </c>
      <c r="AB189" s="169" t="s">
        <v>436</v>
      </c>
    </row>
    <row r="190" spans="19:28" ht="23.25" customHeight="1" x14ac:dyDescent="0.25">
      <c r="S190" s="168">
        <v>3513</v>
      </c>
      <c r="T190" s="168" t="s">
        <v>634</v>
      </c>
      <c r="U190" s="167" t="s">
        <v>433</v>
      </c>
      <c r="V190" s="167" t="s">
        <v>430</v>
      </c>
      <c r="W190" s="167" t="s">
        <v>434</v>
      </c>
      <c r="X190" s="167" t="s">
        <v>429</v>
      </c>
      <c r="Y190" s="167" t="s">
        <v>426</v>
      </c>
      <c r="Z190" s="167" t="s">
        <v>431</v>
      </c>
      <c r="AA190" s="167" t="s">
        <v>437</v>
      </c>
      <c r="AB190" s="169" t="s">
        <v>436</v>
      </c>
    </row>
    <row r="191" spans="19:28" ht="23.25" customHeight="1" x14ac:dyDescent="0.25">
      <c r="S191" s="168">
        <v>3001</v>
      </c>
      <c r="T191" s="168" t="s">
        <v>635</v>
      </c>
      <c r="U191" s="167" t="s">
        <v>433</v>
      </c>
      <c r="V191" s="167" t="s">
        <v>435</v>
      </c>
      <c r="W191" s="167" t="s">
        <v>430</v>
      </c>
      <c r="X191" s="167" t="s">
        <v>429</v>
      </c>
      <c r="Y191" s="167" t="s">
        <v>426</v>
      </c>
      <c r="Z191" s="167" t="s">
        <v>431</v>
      </c>
      <c r="AA191" s="167" t="s">
        <v>437</v>
      </c>
      <c r="AB191" s="169" t="s">
        <v>434</v>
      </c>
    </row>
    <row r="192" spans="19:28" ht="23.25" customHeight="1" x14ac:dyDescent="0.25">
      <c r="S192" s="168">
        <v>1977</v>
      </c>
      <c r="T192" s="168" t="s">
        <v>636</v>
      </c>
      <c r="U192" s="167" t="s">
        <v>433</v>
      </c>
      <c r="V192" s="167" t="s">
        <v>435</v>
      </c>
      <c r="W192" s="167" t="s">
        <v>430</v>
      </c>
      <c r="X192" s="167" t="s">
        <v>429</v>
      </c>
      <c r="Y192" s="167" t="s">
        <v>426</v>
      </c>
      <c r="Z192" s="167" t="s">
        <v>431</v>
      </c>
      <c r="AA192" s="167" t="s">
        <v>434</v>
      </c>
      <c r="AB192" s="169" t="s">
        <v>436</v>
      </c>
    </row>
    <row r="193" spans="19:28" ht="23.25" customHeight="1" x14ac:dyDescent="0.25">
      <c r="S193" s="168">
        <v>3705</v>
      </c>
      <c r="T193" s="168" t="s">
        <v>637</v>
      </c>
      <c r="U193" s="167" t="s">
        <v>430</v>
      </c>
      <c r="V193" s="167" t="s">
        <v>432</v>
      </c>
      <c r="W193" s="167" t="s">
        <v>435</v>
      </c>
      <c r="X193" s="167" t="s">
        <v>429</v>
      </c>
      <c r="Y193" s="167" t="s">
        <v>426</v>
      </c>
      <c r="Z193" s="167" t="s">
        <v>431</v>
      </c>
      <c r="AA193" s="167" t="s">
        <v>437</v>
      </c>
      <c r="AB193" s="169" t="s">
        <v>436</v>
      </c>
    </row>
    <row r="194" spans="19:28" ht="23.25" customHeight="1" x14ac:dyDescent="0.25">
      <c r="S194" s="168">
        <v>3449</v>
      </c>
      <c r="T194" s="168" t="s">
        <v>638</v>
      </c>
      <c r="U194" s="167" t="s">
        <v>430</v>
      </c>
      <c r="V194" s="167" t="s">
        <v>432</v>
      </c>
      <c r="W194" s="167" t="s">
        <v>434</v>
      </c>
      <c r="X194" s="167" t="s">
        <v>429</v>
      </c>
      <c r="Y194" s="167" t="s">
        <v>426</v>
      </c>
      <c r="Z194" s="167" t="s">
        <v>431</v>
      </c>
      <c r="AA194" s="167" t="s">
        <v>437</v>
      </c>
      <c r="AB194" s="169" t="s">
        <v>436</v>
      </c>
    </row>
    <row r="195" spans="19:28" ht="23.25" customHeight="1" x14ac:dyDescent="0.25">
      <c r="S195" s="168">
        <v>2937</v>
      </c>
      <c r="T195" s="168" t="s">
        <v>639</v>
      </c>
      <c r="U195" s="167" t="s">
        <v>430</v>
      </c>
      <c r="V195" s="167" t="s">
        <v>432</v>
      </c>
      <c r="W195" s="167" t="s">
        <v>435</v>
      </c>
      <c r="X195" s="167" t="s">
        <v>429</v>
      </c>
      <c r="Y195" s="167" t="s">
        <v>426</v>
      </c>
      <c r="Z195" s="167" t="s">
        <v>431</v>
      </c>
      <c r="AA195" s="167" t="s">
        <v>437</v>
      </c>
      <c r="AB195" s="169" t="s">
        <v>434</v>
      </c>
    </row>
    <row r="196" spans="19:28" ht="23.25" customHeight="1" x14ac:dyDescent="0.25">
      <c r="S196" s="168">
        <v>1913</v>
      </c>
      <c r="T196" s="168" t="s">
        <v>640</v>
      </c>
      <c r="U196" s="167" t="s">
        <v>430</v>
      </c>
      <c r="V196" s="167" t="s">
        <v>432</v>
      </c>
      <c r="W196" s="167" t="s">
        <v>435</v>
      </c>
      <c r="X196" s="167" t="s">
        <v>429</v>
      </c>
      <c r="Y196" s="167" t="s">
        <v>426</v>
      </c>
      <c r="Z196" s="167" t="s">
        <v>431</v>
      </c>
      <c r="AA196" s="167" t="s">
        <v>434</v>
      </c>
      <c r="AB196" s="169" t="s">
        <v>436</v>
      </c>
    </row>
    <row r="197" spans="19:28" ht="23.25" customHeight="1" x14ac:dyDescent="0.25">
      <c r="S197" s="168">
        <v>3321</v>
      </c>
      <c r="T197" s="168" t="s">
        <v>641</v>
      </c>
      <c r="U197" s="167" t="s">
        <v>433</v>
      </c>
      <c r="V197" s="167" t="s">
        <v>432</v>
      </c>
      <c r="W197" s="167" t="s">
        <v>430</v>
      </c>
      <c r="X197" s="167" t="s">
        <v>429</v>
      </c>
      <c r="Y197" s="167" t="s">
        <v>426</v>
      </c>
      <c r="Z197" s="167" t="s">
        <v>431</v>
      </c>
      <c r="AA197" s="167" t="s">
        <v>437</v>
      </c>
      <c r="AB197" s="169" t="s">
        <v>436</v>
      </c>
    </row>
    <row r="198" spans="19:28" ht="23.25" customHeight="1" x14ac:dyDescent="0.25">
      <c r="S198" s="168">
        <v>2809</v>
      </c>
      <c r="T198" s="168" t="s">
        <v>642</v>
      </c>
      <c r="U198" s="167" t="s">
        <v>433</v>
      </c>
      <c r="V198" s="167" t="s">
        <v>432</v>
      </c>
      <c r="W198" s="167" t="s">
        <v>435</v>
      </c>
      <c r="X198" s="167" t="s">
        <v>429</v>
      </c>
      <c r="Y198" s="167" t="s">
        <v>426</v>
      </c>
      <c r="Z198" s="167" t="s">
        <v>431</v>
      </c>
      <c r="AA198" s="167" t="s">
        <v>437</v>
      </c>
      <c r="AB198" s="169" t="s">
        <v>430</v>
      </c>
    </row>
    <row r="199" spans="19:28" ht="23.25" customHeight="1" x14ac:dyDescent="0.25">
      <c r="S199" s="168">
        <v>1785</v>
      </c>
      <c r="T199" s="168" t="s">
        <v>643</v>
      </c>
      <c r="U199" s="167" t="s">
        <v>433</v>
      </c>
      <c r="V199" s="167" t="s">
        <v>432</v>
      </c>
      <c r="W199" s="167" t="s">
        <v>435</v>
      </c>
      <c r="X199" s="167" t="s">
        <v>429</v>
      </c>
      <c r="Y199" s="167" t="s">
        <v>426</v>
      </c>
      <c r="Z199" s="167" t="s">
        <v>431</v>
      </c>
      <c r="AA199" s="167" t="s">
        <v>430</v>
      </c>
      <c r="AB199" s="169" t="s">
        <v>436</v>
      </c>
    </row>
    <row r="200" spans="19:28" ht="23.25" customHeight="1" x14ac:dyDescent="0.25">
      <c r="S200" s="168">
        <v>2553</v>
      </c>
      <c r="T200" s="168" t="s">
        <v>644</v>
      </c>
      <c r="U200" s="167" t="s">
        <v>433</v>
      </c>
      <c r="V200" s="167" t="s">
        <v>432</v>
      </c>
      <c r="W200" s="167" t="s">
        <v>430</v>
      </c>
      <c r="X200" s="167" t="s">
        <v>429</v>
      </c>
      <c r="Y200" s="167" t="s">
        <v>426</v>
      </c>
      <c r="Z200" s="167" t="s">
        <v>431</v>
      </c>
      <c r="AA200" s="167" t="s">
        <v>437</v>
      </c>
      <c r="AB200" s="169" t="s">
        <v>434</v>
      </c>
    </row>
    <row r="201" spans="19:28" ht="23.25" customHeight="1" x14ac:dyDescent="0.25">
      <c r="S201" s="168">
        <v>1529</v>
      </c>
      <c r="T201" s="168" t="s">
        <v>645</v>
      </c>
      <c r="U201" s="167" t="s">
        <v>433</v>
      </c>
      <c r="V201" s="167" t="s">
        <v>432</v>
      </c>
      <c r="W201" s="167" t="s">
        <v>430</v>
      </c>
      <c r="X201" s="167" t="s">
        <v>429</v>
      </c>
      <c r="Y201" s="167" t="s">
        <v>426</v>
      </c>
      <c r="Z201" s="167" t="s">
        <v>431</v>
      </c>
      <c r="AA201" s="167" t="s">
        <v>434</v>
      </c>
      <c r="AB201" s="169" t="s">
        <v>436</v>
      </c>
    </row>
    <row r="202" spans="19:28" ht="23.25" customHeight="1" x14ac:dyDescent="0.25">
      <c r="S202" s="168">
        <v>1017</v>
      </c>
      <c r="T202" s="168" t="s">
        <v>646</v>
      </c>
      <c r="U202" s="167" t="s">
        <v>433</v>
      </c>
      <c r="V202" s="167" t="s">
        <v>432</v>
      </c>
      <c r="W202" s="167" t="s">
        <v>435</v>
      </c>
      <c r="X202" s="167" t="s">
        <v>429</v>
      </c>
      <c r="Y202" s="167" t="s">
        <v>426</v>
      </c>
      <c r="Z202" s="167" t="s">
        <v>431</v>
      </c>
      <c r="AA202" s="167" t="s">
        <v>430</v>
      </c>
      <c r="AB202" s="169" t="s">
        <v>434</v>
      </c>
    </row>
    <row r="203" spans="19:28" ht="23.25" customHeight="1" x14ac:dyDescent="0.25">
      <c r="S203" s="168">
        <v>4037</v>
      </c>
      <c r="T203" s="168" t="s">
        <v>647</v>
      </c>
      <c r="U203" s="167" t="s">
        <v>433</v>
      </c>
      <c r="V203" s="167" t="s">
        <v>435</v>
      </c>
      <c r="W203" s="167" t="s">
        <v>434</v>
      </c>
      <c r="X203" s="167" t="s">
        <v>428</v>
      </c>
      <c r="Y203" s="167" t="s">
        <v>426</v>
      </c>
      <c r="Z203" s="167" t="s">
        <v>432</v>
      </c>
      <c r="AA203" s="167" t="s">
        <v>437</v>
      </c>
      <c r="AB203" s="169" t="s">
        <v>436</v>
      </c>
    </row>
    <row r="204" spans="19:28" ht="23.25" customHeight="1" x14ac:dyDescent="0.25">
      <c r="S204" s="168">
        <v>4005</v>
      </c>
      <c r="T204" s="168" t="s">
        <v>648</v>
      </c>
      <c r="U204" s="167" t="s">
        <v>433</v>
      </c>
      <c r="V204" s="167" t="s">
        <v>435</v>
      </c>
      <c r="W204" s="167" t="s">
        <v>434</v>
      </c>
      <c r="X204" s="167" t="s">
        <v>428</v>
      </c>
      <c r="Y204" s="167" t="s">
        <v>426</v>
      </c>
      <c r="Z204" s="167" t="s">
        <v>431</v>
      </c>
      <c r="AA204" s="167" t="s">
        <v>437</v>
      </c>
      <c r="AB204" s="169" t="s">
        <v>436</v>
      </c>
    </row>
    <row r="205" spans="19:28" ht="23.25" customHeight="1" x14ac:dyDescent="0.25">
      <c r="S205" s="168">
        <v>3941</v>
      </c>
      <c r="T205" s="168" t="s">
        <v>649</v>
      </c>
      <c r="U205" s="167" t="s">
        <v>434</v>
      </c>
      <c r="V205" s="167" t="s">
        <v>432</v>
      </c>
      <c r="W205" s="167" t="s">
        <v>435</v>
      </c>
      <c r="X205" s="167" t="s">
        <v>428</v>
      </c>
      <c r="Y205" s="167" t="s">
        <v>426</v>
      </c>
      <c r="Z205" s="167" t="s">
        <v>431</v>
      </c>
      <c r="AA205" s="167" t="s">
        <v>437</v>
      </c>
      <c r="AB205" s="169" t="s">
        <v>436</v>
      </c>
    </row>
    <row r="206" spans="19:28" ht="23.25" customHeight="1" x14ac:dyDescent="0.25">
      <c r="S206" s="168">
        <v>3813</v>
      </c>
      <c r="T206" s="168" t="s">
        <v>650</v>
      </c>
      <c r="U206" s="167" t="s">
        <v>433</v>
      </c>
      <c r="V206" s="167" t="s">
        <v>432</v>
      </c>
      <c r="W206" s="167" t="s">
        <v>435</v>
      </c>
      <c r="X206" s="167" t="s">
        <v>428</v>
      </c>
      <c r="Y206" s="167" t="s">
        <v>426</v>
      </c>
      <c r="Z206" s="167" t="s">
        <v>431</v>
      </c>
      <c r="AA206" s="167" t="s">
        <v>437</v>
      </c>
      <c r="AB206" s="169" t="s">
        <v>436</v>
      </c>
    </row>
    <row r="207" spans="19:28" ht="23.25" customHeight="1" x14ac:dyDescent="0.25">
      <c r="S207" s="168">
        <v>3557</v>
      </c>
      <c r="T207" s="168" t="s">
        <v>651</v>
      </c>
      <c r="U207" s="167" t="s">
        <v>433</v>
      </c>
      <c r="V207" s="167" t="s">
        <v>432</v>
      </c>
      <c r="W207" s="167" t="s">
        <v>434</v>
      </c>
      <c r="X207" s="167" t="s">
        <v>428</v>
      </c>
      <c r="Y207" s="167" t="s">
        <v>426</v>
      </c>
      <c r="Z207" s="167" t="s">
        <v>431</v>
      </c>
      <c r="AA207" s="167" t="s">
        <v>437</v>
      </c>
      <c r="AB207" s="169" t="s">
        <v>436</v>
      </c>
    </row>
    <row r="208" spans="19:28" ht="23.25" customHeight="1" x14ac:dyDescent="0.25">
      <c r="S208" s="168">
        <v>3045</v>
      </c>
      <c r="T208" s="168" t="s">
        <v>652</v>
      </c>
      <c r="U208" s="167" t="s">
        <v>433</v>
      </c>
      <c r="V208" s="167" t="s">
        <v>432</v>
      </c>
      <c r="W208" s="167" t="s">
        <v>435</v>
      </c>
      <c r="X208" s="167" t="s">
        <v>428</v>
      </c>
      <c r="Y208" s="167" t="s">
        <v>426</v>
      </c>
      <c r="Z208" s="167" t="s">
        <v>431</v>
      </c>
      <c r="AA208" s="167" t="s">
        <v>437</v>
      </c>
      <c r="AB208" s="169" t="s">
        <v>434</v>
      </c>
    </row>
    <row r="209" spans="19:28" ht="23.25" customHeight="1" x14ac:dyDescent="0.25">
      <c r="S209" s="168">
        <v>2021</v>
      </c>
      <c r="T209" s="168" t="s">
        <v>653</v>
      </c>
      <c r="U209" s="167" t="s">
        <v>433</v>
      </c>
      <c r="V209" s="167" t="s">
        <v>432</v>
      </c>
      <c r="W209" s="167" t="s">
        <v>435</v>
      </c>
      <c r="X209" s="167" t="s">
        <v>428</v>
      </c>
      <c r="Y209" s="167" t="s">
        <v>426</v>
      </c>
      <c r="Z209" s="167" t="s">
        <v>431</v>
      </c>
      <c r="AA209" s="167" t="s">
        <v>434</v>
      </c>
      <c r="AB209" s="169" t="s">
        <v>436</v>
      </c>
    </row>
    <row r="210" spans="19:28" ht="23.25" customHeight="1" x14ac:dyDescent="0.25">
      <c r="S210" s="168">
        <v>3989</v>
      </c>
      <c r="T210" s="168" t="s">
        <v>654</v>
      </c>
      <c r="U210" s="167" t="s">
        <v>430</v>
      </c>
      <c r="V210" s="167" t="s">
        <v>435</v>
      </c>
      <c r="W210" s="167" t="s">
        <v>434</v>
      </c>
      <c r="X210" s="167" t="s">
        <v>428</v>
      </c>
      <c r="Y210" s="167" t="s">
        <v>426</v>
      </c>
      <c r="Z210" s="167" t="s">
        <v>433</v>
      </c>
      <c r="AA210" s="167" t="s">
        <v>437</v>
      </c>
      <c r="AB210" s="169" t="s">
        <v>436</v>
      </c>
    </row>
    <row r="211" spans="19:28" ht="23.25" customHeight="1" x14ac:dyDescent="0.25">
      <c r="S211" s="168">
        <v>3925</v>
      </c>
      <c r="T211" s="168" t="s">
        <v>655</v>
      </c>
      <c r="U211" s="167" t="s">
        <v>430</v>
      </c>
      <c r="V211" s="167" t="s">
        <v>435</v>
      </c>
      <c r="W211" s="167" t="s">
        <v>434</v>
      </c>
      <c r="X211" s="167" t="s">
        <v>428</v>
      </c>
      <c r="Y211" s="167" t="s">
        <v>426</v>
      </c>
      <c r="Z211" s="167" t="s">
        <v>432</v>
      </c>
      <c r="AA211" s="167" t="s">
        <v>437</v>
      </c>
      <c r="AB211" s="169" t="s">
        <v>436</v>
      </c>
    </row>
    <row r="212" spans="19:28" ht="23.25" customHeight="1" x14ac:dyDescent="0.25">
      <c r="S212" s="168">
        <v>3797</v>
      </c>
      <c r="T212" s="168" t="s">
        <v>656</v>
      </c>
      <c r="U212" s="167" t="s">
        <v>430</v>
      </c>
      <c r="V212" s="167" t="s">
        <v>432</v>
      </c>
      <c r="W212" s="167" t="s">
        <v>435</v>
      </c>
      <c r="X212" s="167" t="s">
        <v>428</v>
      </c>
      <c r="Y212" s="167" t="s">
        <v>426</v>
      </c>
      <c r="Z212" s="167" t="s">
        <v>433</v>
      </c>
      <c r="AA212" s="167" t="s">
        <v>437</v>
      </c>
      <c r="AB212" s="169" t="s">
        <v>436</v>
      </c>
    </row>
    <row r="213" spans="19:28" ht="23.25" customHeight="1" x14ac:dyDescent="0.25">
      <c r="S213" s="168">
        <v>3541</v>
      </c>
      <c r="T213" s="168" t="s">
        <v>657</v>
      </c>
      <c r="U213" s="167" t="s">
        <v>430</v>
      </c>
      <c r="V213" s="167" t="s">
        <v>432</v>
      </c>
      <c r="W213" s="167" t="s">
        <v>434</v>
      </c>
      <c r="X213" s="167" t="s">
        <v>428</v>
      </c>
      <c r="Y213" s="167" t="s">
        <v>426</v>
      </c>
      <c r="Z213" s="167" t="s">
        <v>433</v>
      </c>
      <c r="AA213" s="167" t="s">
        <v>437</v>
      </c>
      <c r="AB213" s="169" t="s">
        <v>436</v>
      </c>
    </row>
    <row r="214" spans="19:28" ht="23.25" customHeight="1" x14ac:dyDescent="0.25">
      <c r="S214" s="168">
        <v>3029</v>
      </c>
      <c r="T214" s="168" t="s">
        <v>658</v>
      </c>
      <c r="U214" s="167" t="s">
        <v>430</v>
      </c>
      <c r="V214" s="167" t="s">
        <v>432</v>
      </c>
      <c r="W214" s="167" t="s">
        <v>435</v>
      </c>
      <c r="X214" s="167" t="s">
        <v>428</v>
      </c>
      <c r="Y214" s="167" t="s">
        <v>426</v>
      </c>
      <c r="Z214" s="167" t="s">
        <v>433</v>
      </c>
      <c r="AA214" s="167" t="s">
        <v>437</v>
      </c>
      <c r="AB214" s="169" t="s">
        <v>434</v>
      </c>
    </row>
    <row r="215" spans="19:28" ht="23.25" customHeight="1" x14ac:dyDescent="0.25">
      <c r="S215" s="168">
        <v>2005</v>
      </c>
      <c r="T215" s="168" t="s">
        <v>659</v>
      </c>
      <c r="U215" s="167" t="s">
        <v>430</v>
      </c>
      <c r="V215" s="167" t="s">
        <v>432</v>
      </c>
      <c r="W215" s="167" t="s">
        <v>435</v>
      </c>
      <c r="X215" s="167" t="s">
        <v>428</v>
      </c>
      <c r="Y215" s="167" t="s">
        <v>426</v>
      </c>
      <c r="Z215" s="167" t="s">
        <v>433</v>
      </c>
      <c r="AA215" s="167" t="s">
        <v>434</v>
      </c>
      <c r="AB215" s="169" t="s">
        <v>436</v>
      </c>
    </row>
    <row r="216" spans="19:28" ht="23.25" customHeight="1" x14ac:dyDescent="0.25">
      <c r="S216" s="168">
        <v>3893</v>
      </c>
      <c r="T216" s="168" t="s">
        <v>660</v>
      </c>
      <c r="U216" s="167" t="s">
        <v>430</v>
      </c>
      <c r="V216" s="167" t="s">
        <v>435</v>
      </c>
      <c r="W216" s="167" t="s">
        <v>434</v>
      </c>
      <c r="X216" s="167" t="s">
        <v>428</v>
      </c>
      <c r="Y216" s="167" t="s">
        <v>426</v>
      </c>
      <c r="Z216" s="167" t="s">
        <v>431</v>
      </c>
      <c r="AA216" s="167" t="s">
        <v>437</v>
      </c>
      <c r="AB216" s="169" t="s">
        <v>436</v>
      </c>
    </row>
    <row r="217" spans="19:28" ht="23.25" customHeight="1" x14ac:dyDescent="0.25">
      <c r="S217" s="168">
        <v>3765</v>
      </c>
      <c r="T217" s="168" t="s">
        <v>661</v>
      </c>
      <c r="U217" s="167" t="s">
        <v>433</v>
      </c>
      <c r="V217" s="167" t="s">
        <v>435</v>
      </c>
      <c r="W217" s="167" t="s">
        <v>430</v>
      </c>
      <c r="X217" s="167" t="s">
        <v>428</v>
      </c>
      <c r="Y217" s="167" t="s">
        <v>426</v>
      </c>
      <c r="Z217" s="167" t="s">
        <v>431</v>
      </c>
      <c r="AA217" s="167" t="s">
        <v>437</v>
      </c>
      <c r="AB217" s="169" t="s">
        <v>436</v>
      </c>
    </row>
    <row r="218" spans="19:28" ht="23.25" customHeight="1" x14ac:dyDescent="0.25">
      <c r="S218" s="168">
        <v>3509</v>
      </c>
      <c r="T218" s="168" t="s">
        <v>662</v>
      </c>
      <c r="U218" s="167" t="s">
        <v>433</v>
      </c>
      <c r="V218" s="167" t="s">
        <v>430</v>
      </c>
      <c r="W218" s="167" t="s">
        <v>434</v>
      </c>
      <c r="X218" s="167" t="s">
        <v>428</v>
      </c>
      <c r="Y218" s="167" t="s">
        <v>426</v>
      </c>
      <c r="Z218" s="167" t="s">
        <v>431</v>
      </c>
      <c r="AA218" s="167" t="s">
        <v>437</v>
      </c>
      <c r="AB218" s="169" t="s">
        <v>436</v>
      </c>
    </row>
    <row r="219" spans="19:28" ht="23.25" customHeight="1" x14ac:dyDescent="0.25">
      <c r="S219" s="168">
        <v>2997</v>
      </c>
      <c r="T219" s="168" t="s">
        <v>663</v>
      </c>
      <c r="U219" s="167" t="s">
        <v>433</v>
      </c>
      <c r="V219" s="167" t="s">
        <v>435</v>
      </c>
      <c r="W219" s="167" t="s">
        <v>430</v>
      </c>
      <c r="X219" s="167" t="s">
        <v>428</v>
      </c>
      <c r="Y219" s="167" t="s">
        <v>426</v>
      </c>
      <c r="Z219" s="167" t="s">
        <v>431</v>
      </c>
      <c r="AA219" s="167" t="s">
        <v>437</v>
      </c>
      <c r="AB219" s="169" t="s">
        <v>434</v>
      </c>
    </row>
    <row r="220" spans="19:28" ht="23.25" customHeight="1" x14ac:dyDescent="0.25">
      <c r="S220" s="168">
        <v>1973</v>
      </c>
      <c r="T220" s="168" t="s">
        <v>664</v>
      </c>
      <c r="U220" s="167" t="s">
        <v>433</v>
      </c>
      <c r="V220" s="167" t="s">
        <v>435</v>
      </c>
      <c r="W220" s="167" t="s">
        <v>430</v>
      </c>
      <c r="X220" s="167" t="s">
        <v>428</v>
      </c>
      <c r="Y220" s="167" t="s">
        <v>426</v>
      </c>
      <c r="Z220" s="167" t="s">
        <v>431</v>
      </c>
      <c r="AA220" s="167" t="s">
        <v>434</v>
      </c>
      <c r="AB220" s="169" t="s">
        <v>436</v>
      </c>
    </row>
    <row r="221" spans="19:28" ht="23.25" customHeight="1" x14ac:dyDescent="0.25">
      <c r="S221" s="168">
        <v>3701</v>
      </c>
      <c r="T221" s="168" t="s">
        <v>665</v>
      </c>
      <c r="U221" s="167" t="s">
        <v>430</v>
      </c>
      <c r="V221" s="167" t="s">
        <v>432</v>
      </c>
      <c r="W221" s="167" t="s">
        <v>435</v>
      </c>
      <c r="X221" s="167" t="s">
        <v>428</v>
      </c>
      <c r="Y221" s="167" t="s">
        <v>426</v>
      </c>
      <c r="Z221" s="167" t="s">
        <v>431</v>
      </c>
      <c r="AA221" s="167" t="s">
        <v>437</v>
      </c>
      <c r="AB221" s="169" t="s">
        <v>436</v>
      </c>
    </row>
    <row r="222" spans="19:28" ht="23.25" customHeight="1" x14ac:dyDescent="0.25">
      <c r="S222" s="168">
        <v>3445</v>
      </c>
      <c r="T222" s="168" t="s">
        <v>666</v>
      </c>
      <c r="U222" s="167" t="s">
        <v>430</v>
      </c>
      <c r="V222" s="167" t="s">
        <v>432</v>
      </c>
      <c r="W222" s="167" t="s">
        <v>434</v>
      </c>
      <c r="X222" s="167" t="s">
        <v>428</v>
      </c>
      <c r="Y222" s="167" t="s">
        <v>426</v>
      </c>
      <c r="Z222" s="167" t="s">
        <v>431</v>
      </c>
      <c r="AA222" s="167" t="s">
        <v>437</v>
      </c>
      <c r="AB222" s="169" t="s">
        <v>436</v>
      </c>
    </row>
    <row r="223" spans="19:28" ht="23.25" customHeight="1" x14ac:dyDescent="0.25">
      <c r="S223" s="168">
        <v>2933</v>
      </c>
      <c r="T223" s="168" t="s">
        <v>667</v>
      </c>
      <c r="U223" s="167" t="s">
        <v>430</v>
      </c>
      <c r="V223" s="167" t="s">
        <v>432</v>
      </c>
      <c r="W223" s="167" t="s">
        <v>435</v>
      </c>
      <c r="X223" s="167" t="s">
        <v>428</v>
      </c>
      <c r="Y223" s="167" t="s">
        <v>426</v>
      </c>
      <c r="Z223" s="167" t="s">
        <v>431</v>
      </c>
      <c r="AA223" s="167" t="s">
        <v>437</v>
      </c>
      <c r="AB223" s="169" t="s">
        <v>434</v>
      </c>
    </row>
    <row r="224" spans="19:28" ht="23.25" customHeight="1" x14ac:dyDescent="0.25">
      <c r="S224" s="168">
        <v>1909</v>
      </c>
      <c r="T224" s="168" t="s">
        <v>668</v>
      </c>
      <c r="U224" s="167" t="s">
        <v>430</v>
      </c>
      <c r="V224" s="167" t="s">
        <v>432</v>
      </c>
      <c r="W224" s="167" t="s">
        <v>435</v>
      </c>
      <c r="X224" s="167" t="s">
        <v>428</v>
      </c>
      <c r="Y224" s="167" t="s">
        <v>426</v>
      </c>
      <c r="Z224" s="167" t="s">
        <v>431</v>
      </c>
      <c r="AA224" s="167" t="s">
        <v>434</v>
      </c>
      <c r="AB224" s="169" t="s">
        <v>436</v>
      </c>
    </row>
    <row r="225" spans="19:28" ht="23.25" customHeight="1" x14ac:dyDescent="0.25">
      <c r="S225" s="168">
        <v>3317</v>
      </c>
      <c r="T225" s="168" t="s">
        <v>669</v>
      </c>
      <c r="U225" s="167" t="s">
        <v>433</v>
      </c>
      <c r="V225" s="167" t="s">
        <v>432</v>
      </c>
      <c r="W225" s="167" t="s">
        <v>430</v>
      </c>
      <c r="X225" s="167" t="s">
        <v>428</v>
      </c>
      <c r="Y225" s="167" t="s">
        <v>426</v>
      </c>
      <c r="Z225" s="167" t="s">
        <v>431</v>
      </c>
      <c r="AA225" s="167" t="s">
        <v>437</v>
      </c>
      <c r="AB225" s="169" t="s">
        <v>436</v>
      </c>
    </row>
    <row r="226" spans="19:28" ht="23.25" customHeight="1" x14ac:dyDescent="0.25">
      <c r="S226" s="168">
        <v>2805</v>
      </c>
      <c r="T226" s="168" t="s">
        <v>670</v>
      </c>
      <c r="U226" s="167" t="s">
        <v>433</v>
      </c>
      <c r="V226" s="167" t="s">
        <v>432</v>
      </c>
      <c r="W226" s="167" t="s">
        <v>435</v>
      </c>
      <c r="X226" s="167" t="s">
        <v>428</v>
      </c>
      <c r="Y226" s="167" t="s">
        <v>426</v>
      </c>
      <c r="Z226" s="167" t="s">
        <v>431</v>
      </c>
      <c r="AA226" s="167" t="s">
        <v>437</v>
      </c>
      <c r="AB226" s="169" t="s">
        <v>430</v>
      </c>
    </row>
    <row r="227" spans="19:28" ht="23.25" customHeight="1" x14ac:dyDescent="0.25">
      <c r="S227" s="168">
        <v>1781</v>
      </c>
      <c r="T227" s="168" t="s">
        <v>671</v>
      </c>
      <c r="U227" s="167" t="s">
        <v>433</v>
      </c>
      <c r="V227" s="167" t="s">
        <v>432</v>
      </c>
      <c r="W227" s="167" t="s">
        <v>435</v>
      </c>
      <c r="X227" s="167" t="s">
        <v>428</v>
      </c>
      <c r="Y227" s="167" t="s">
        <v>426</v>
      </c>
      <c r="Z227" s="167" t="s">
        <v>431</v>
      </c>
      <c r="AA227" s="167" t="s">
        <v>430</v>
      </c>
      <c r="AB227" s="169" t="s">
        <v>436</v>
      </c>
    </row>
    <row r="228" spans="19:28" ht="23.25" customHeight="1" x14ac:dyDescent="0.25">
      <c r="S228" s="168">
        <v>2549</v>
      </c>
      <c r="T228" s="168" t="s">
        <v>672</v>
      </c>
      <c r="U228" s="167" t="s">
        <v>433</v>
      </c>
      <c r="V228" s="167" t="s">
        <v>432</v>
      </c>
      <c r="W228" s="167" t="s">
        <v>430</v>
      </c>
      <c r="X228" s="167" t="s">
        <v>428</v>
      </c>
      <c r="Y228" s="167" t="s">
        <v>426</v>
      </c>
      <c r="Z228" s="167" t="s">
        <v>431</v>
      </c>
      <c r="AA228" s="167" t="s">
        <v>437</v>
      </c>
      <c r="AB228" s="169" t="s">
        <v>434</v>
      </c>
    </row>
    <row r="229" spans="19:28" ht="23.25" customHeight="1" x14ac:dyDescent="0.25">
      <c r="S229" s="168">
        <v>1525</v>
      </c>
      <c r="T229" s="168" t="s">
        <v>673</v>
      </c>
      <c r="U229" s="167" t="s">
        <v>433</v>
      </c>
      <c r="V229" s="167" t="s">
        <v>432</v>
      </c>
      <c r="W229" s="167" t="s">
        <v>430</v>
      </c>
      <c r="X229" s="167" t="s">
        <v>428</v>
      </c>
      <c r="Y229" s="167" t="s">
        <v>426</v>
      </c>
      <c r="Z229" s="167" t="s">
        <v>431</v>
      </c>
      <c r="AA229" s="167" t="s">
        <v>434</v>
      </c>
      <c r="AB229" s="169" t="s">
        <v>436</v>
      </c>
    </row>
    <row r="230" spans="19:28" ht="23.25" customHeight="1" x14ac:dyDescent="0.25">
      <c r="S230" s="168">
        <v>1013</v>
      </c>
      <c r="T230" s="168" t="s">
        <v>674</v>
      </c>
      <c r="U230" s="167" t="s">
        <v>433</v>
      </c>
      <c r="V230" s="167" t="s">
        <v>432</v>
      </c>
      <c r="W230" s="167" t="s">
        <v>435</v>
      </c>
      <c r="X230" s="167" t="s">
        <v>428</v>
      </c>
      <c r="Y230" s="167" t="s">
        <v>426</v>
      </c>
      <c r="Z230" s="167" t="s">
        <v>431</v>
      </c>
      <c r="AA230" s="167" t="s">
        <v>430</v>
      </c>
      <c r="AB230" s="169" t="s">
        <v>434</v>
      </c>
    </row>
    <row r="231" spans="19:28" ht="23.25" customHeight="1" x14ac:dyDescent="0.25">
      <c r="S231" s="168">
        <v>3981</v>
      </c>
      <c r="T231" s="168" t="s">
        <v>675</v>
      </c>
      <c r="U231" s="167" t="s">
        <v>433</v>
      </c>
      <c r="V231" s="167" t="s">
        <v>435</v>
      </c>
      <c r="W231" s="167" t="s">
        <v>434</v>
      </c>
      <c r="X231" s="167" t="s">
        <v>428</v>
      </c>
      <c r="Y231" s="167" t="s">
        <v>426</v>
      </c>
      <c r="Z231" s="167" t="s">
        <v>429</v>
      </c>
      <c r="AA231" s="167" t="s">
        <v>437</v>
      </c>
      <c r="AB231" s="169" t="s">
        <v>436</v>
      </c>
    </row>
    <row r="232" spans="19:28" ht="23.25" customHeight="1" x14ac:dyDescent="0.25">
      <c r="S232" s="168">
        <v>3917</v>
      </c>
      <c r="T232" s="168" t="s">
        <v>676</v>
      </c>
      <c r="U232" s="167" t="s">
        <v>434</v>
      </c>
      <c r="V232" s="167" t="s">
        <v>432</v>
      </c>
      <c r="W232" s="167" t="s">
        <v>435</v>
      </c>
      <c r="X232" s="167" t="s">
        <v>428</v>
      </c>
      <c r="Y232" s="167" t="s">
        <v>426</v>
      </c>
      <c r="Z232" s="167" t="s">
        <v>429</v>
      </c>
      <c r="AA232" s="167" t="s">
        <v>437</v>
      </c>
      <c r="AB232" s="169" t="s">
        <v>436</v>
      </c>
    </row>
    <row r="233" spans="19:28" ht="23.25" customHeight="1" x14ac:dyDescent="0.25">
      <c r="S233" s="168">
        <v>3789</v>
      </c>
      <c r="T233" s="168" t="s">
        <v>677</v>
      </c>
      <c r="U233" s="167" t="s">
        <v>433</v>
      </c>
      <c r="V233" s="167" t="s">
        <v>432</v>
      </c>
      <c r="W233" s="167" t="s">
        <v>435</v>
      </c>
      <c r="X233" s="167" t="s">
        <v>428</v>
      </c>
      <c r="Y233" s="167" t="s">
        <v>426</v>
      </c>
      <c r="Z233" s="167" t="s">
        <v>429</v>
      </c>
      <c r="AA233" s="167" t="s">
        <v>437</v>
      </c>
      <c r="AB233" s="169" t="s">
        <v>436</v>
      </c>
    </row>
    <row r="234" spans="19:28" ht="23.25" customHeight="1" x14ac:dyDescent="0.25">
      <c r="S234" s="168">
        <v>3533</v>
      </c>
      <c r="T234" s="168" t="s">
        <v>678</v>
      </c>
      <c r="U234" s="167" t="s">
        <v>433</v>
      </c>
      <c r="V234" s="167" t="s">
        <v>432</v>
      </c>
      <c r="W234" s="167" t="s">
        <v>434</v>
      </c>
      <c r="X234" s="167" t="s">
        <v>428</v>
      </c>
      <c r="Y234" s="167" t="s">
        <v>426</v>
      </c>
      <c r="Z234" s="167" t="s">
        <v>429</v>
      </c>
      <c r="AA234" s="167" t="s">
        <v>437</v>
      </c>
      <c r="AB234" s="169" t="s">
        <v>436</v>
      </c>
    </row>
    <row r="235" spans="19:28" ht="23.25" customHeight="1" x14ac:dyDescent="0.25">
      <c r="S235" s="168">
        <v>3021</v>
      </c>
      <c r="T235" s="168" t="s">
        <v>679</v>
      </c>
      <c r="U235" s="167" t="s">
        <v>433</v>
      </c>
      <c r="V235" s="167" t="s">
        <v>432</v>
      </c>
      <c r="W235" s="167" t="s">
        <v>435</v>
      </c>
      <c r="X235" s="167" t="s">
        <v>428</v>
      </c>
      <c r="Y235" s="167" t="s">
        <v>426</v>
      </c>
      <c r="Z235" s="167" t="s">
        <v>429</v>
      </c>
      <c r="AA235" s="167" t="s">
        <v>437</v>
      </c>
      <c r="AB235" s="169" t="s">
        <v>434</v>
      </c>
    </row>
    <row r="236" spans="19:28" ht="23.25" customHeight="1" x14ac:dyDescent="0.25">
      <c r="S236" s="168">
        <v>1997</v>
      </c>
      <c r="T236" s="168" t="s">
        <v>680</v>
      </c>
      <c r="U236" s="167" t="s">
        <v>433</v>
      </c>
      <c r="V236" s="167" t="s">
        <v>432</v>
      </c>
      <c r="W236" s="167" t="s">
        <v>435</v>
      </c>
      <c r="X236" s="167" t="s">
        <v>428</v>
      </c>
      <c r="Y236" s="167" t="s">
        <v>426</v>
      </c>
      <c r="Z236" s="167" t="s">
        <v>429</v>
      </c>
      <c r="AA236" s="167" t="s">
        <v>434</v>
      </c>
      <c r="AB236" s="169" t="s">
        <v>436</v>
      </c>
    </row>
    <row r="237" spans="19:28" ht="23.25" customHeight="1" x14ac:dyDescent="0.25">
      <c r="S237" s="168">
        <v>3885</v>
      </c>
      <c r="T237" s="168" t="s">
        <v>681</v>
      </c>
      <c r="U237" s="167" t="s">
        <v>428</v>
      </c>
      <c r="V237" s="167" t="s">
        <v>435</v>
      </c>
      <c r="W237" s="167" t="s">
        <v>434</v>
      </c>
      <c r="X237" s="167" t="s">
        <v>429</v>
      </c>
      <c r="Y237" s="167" t="s">
        <v>426</v>
      </c>
      <c r="Z237" s="167" t="s">
        <v>431</v>
      </c>
      <c r="AA237" s="167" t="s">
        <v>437</v>
      </c>
      <c r="AB237" s="169" t="s">
        <v>436</v>
      </c>
    </row>
    <row r="238" spans="19:28" ht="23.25" customHeight="1" x14ac:dyDescent="0.25">
      <c r="S238" s="168">
        <v>3757</v>
      </c>
      <c r="T238" s="168" t="s">
        <v>682</v>
      </c>
      <c r="U238" s="167" t="s">
        <v>433</v>
      </c>
      <c r="V238" s="167" t="s">
        <v>435</v>
      </c>
      <c r="W238" s="167" t="s">
        <v>431</v>
      </c>
      <c r="X238" s="167" t="s">
        <v>428</v>
      </c>
      <c r="Y238" s="167" t="s">
        <v>426</v>
      </c>
      <c r="Z238" s="167" t="s">
        <v>429</v>
      </c>
      <c r="AA238" s="167" t="s">
        <v>437</v>
      </c>
      <c r="AB238" s="169" t="s">
        <v>436</v>
      </c>
    </row>
    <row r="239" spans="19:28" ht="23.25" customHeight="1" x14ac:dyDescent="0.25">
      <c r="S239" s="168">
        <v>3501</v>
      </c>
      <c r="T239" s="168" t="s">
        <v>683</v>
      </c>
      <c r="U239" s="167" t="s">
        <v>433</v>
      </c>
      <c r="V239" s="167" t="s">
        <v>431</v>
      </c>
      <c r="W239" s="167" t="s">
        <v>434</v>
      </c>
      <c r="X239" s="167" t="s">
        <v>428</v>
      </c>
      <c r="Y239" s="167" t="s">
        <v>426</v>
      </c>
      <c r="Z239" s="167" t="s">
        <v>429</v>
      </c>
      <c r="AA239" s="167" t="s">
        <v>437</v>
      </c>
      <c r="AB239" s="169" t="s">
        <v>436</v>
      </c>
    </row>
    <row r="240" spans="19:28" ht="23.25" customHeight="1" x14ac:dyDescent="0.25">
      <c r="S240" s="168">
        <v>2989</v>
      </c>
      <c r="T240" s="168" t="s">
        <v>684</v>
      </c>
      <c r="U240" s="167" t="s">
        <v>433</v>
      </c>
      <c r="V240" s="167" t="s">
        <v>435</v>
      </c>
      <c r="W240" s="167" t="s">
        <v>431</v>
      </c>
      <c r="X240" s="167" t="s">
        <v>428</v>
      </c>
      <c r="Y240" s="167" t="s">
        <v>426</v>
      </c>
      <c r="Z240" s="167" t="s">
        <v>429</v>
      </c>
      <c r="AA240" s="167" t="s">
        <v>437</v>
      </c>
      <c r="AB240" s="169" t="s">
        <v>434</v>
      </c>
    </row>
    <row r="241" spans="19:28" ht="23.25" customHeight="1" x14ac:dyDescent="0.25">
      <c r="S241" s="168">
        <v>1965</v>
      </c>
      <c r="T241" s="168" t="s">
        <v>685</v>
      </c>
      <c r="U241" s="167" t="s">
        <v>433</v>
      </c>
      <c r="V241" s="167" t="s">
        <v>435</v>
      </c>
      <c r="W241" s="167" t="s">
        <v>431</v>
      </c>
      <c r="X241" s="167" t="s">
        <v>428</v>
      </c>
      <c r="Y241" s="167" t="s">
        <v>426</v>
      </c>
      <c r="Z241" s="167" t="s">
        <v>429</v>
      </c>
      <c r="AA241" s="167" t="s">
        <v>434</v>
      </c>
      <c r="AB241" s="169" t="s">
        <v>436</v>
      </c>
    </row>
    <row r="242" spans="19:28" ht="23.25" customHeight="1" x14ac:dyDescent="0.25">
      <c r="S242" s="168">
        <v>3693</v>
      </c>
      <c r="T242" s="168" t="s">
        <v>686</v>
      </c>
      <c r="U242" s="167" t="s">
        <v>428</v>
      </c>
      <c r="V242" s="167" t="s">
        <v>432</v>
      </c>
      <c r="W242" s="167" t="s">
        <v>435</v>
      </c>
      <c r="X242" s="167" t="s">
        <v>429</v>
      </c>
      <c r="Y242" s="167" t="s">
        <v>426</v>
      </c>
      <c r="Z242" s="167" t="s">
        <v>431</v>
      </c>
      <c r="AA242" s="167" t="s">
        <v>437</v>
      </c>
      <c r="AB242" s="169" t="s">
        <v>436</v>
      </c>
    </row>
    <row r="243" spans="19:28" ht="23.25" customHeight="1" x14ac:dyDescent="0.25">
      <c r="S243" s="168">
        <v>3437</v>
      </c>
      <c r="T243" s="168" t="s">
        <v>687</v>
      </c>
      <c r="U243" s="167" t="s">
        <v>428</v>
      </c>
      <c r="V243" s="167" t="s">
        <v>432</v>
      </c>
      <c r="W243" s="167" t="s">
        <v>434</v>
      </c>
      <c r="X243" s="167" t="s">
        <v>429</v>
      </c>
      <c r="Y243" s="167" t="s">
        <v>426</v>
      </c>
      <c r="Z243" s="167" t="s">
        <v>431</v>
      </c>
      <c r="AA243" s="167" t="s">
        <v>437</v>
      </c>
      <c r="AB243" s="169" t="s">
        <v>436</v>
      </c>
    </row>
    <row r="244" spans="19:28" ht="23.25" customHeight="1" x14ac:dyDescent="0.25">
      <c r="S244" s="168">
        <v>2925</v>
      </c>
      <c r="T244" s="168" t="s">
        <v>688</v>
      </c>
      <c r="U244" s="167" t="s">
        <v>428</v>
      </c>
      <c r="V244" s="167" t="s">
        <v>432</v>
      </c>
      <c r="W244" s="167" t="s">
        <v>435</v>
      </c>
      <c r="X244" s="167" t="s">
        <v>429</v>
      </c>
      <c r="Y244" s="167" t="s">
        <v>426</v>
      </c>
      <c r="Z244" s="167" t="s">
        <v>431</v>
      </c>
      <c r="AA244" s="167" t="s">
        <v>437</v>
      </c>
      <c r="AB244" s="169" t="s">
        <v>434</v>
      </c>
    </row>
    <row r="245" spans="19:28" ht="23.25" customHeight="1" x14ac:dyDescent="0.25">
      <c r="S245" s="168">
        <v>1901</v>
      </c>
      <c r="T245" s="168" t="s">
        <v>689</v>
      </c>
      <c r="U245" s="167" t="s">
        <v>428</v>
      </c>
      <c r="V245" s="167" t="s">
        <v>432</v>
      </c>
      <c r="W245" s="167" t="s">
        <v>435</v>
      </c>
      <c r="X245" s="167" t="s">
        <v>429</v>
      </c>
      <c r="Y245" s="167" t="s">
        <v>426</v>
      </c>
      <c r="Z245" s="167" t="s">
        <v>431</v>
      </c>
      <c r="AA245" s="167" t="s">
        <v>434</v>
      </c>
      <c r="AB245" s="169" t="s">
        <v>436</v>
      </c>
    </row>
    <row r="246" spans="19:28" ht="23.25" customHeight="1" x14ac:dyDescent="0.25">
      <c r="S246" s="168">
        <v>3309</v>
      </c>
      <c r="T246" s="168" t="s">
        <v>690</v>
      </c>
      <c r="U246" s="167" t="s">
        <v>433</v>
      </c>
      <c r="V246" s="167" t="s">
        <v>432</v>
      </c>
      <c r="W246" s="167" t="s">
        <v>431</v>
      </c>
      <c r="X246" s="167" t="s">
        <v>428</v>
      </c>
      <c r="Y246" s="167" t="s">
        <v>426</v>
      </c>
      <c r="Z246" s="167" t="s">
        <v>429</v>
      </c>
      <c r="AA246" s="167" t="s">
        <v>437</v>
      </c>
      <c r="AB246" s="169" t="s">
        <v>436</v>
      </c>
    </row>
    <row r="247" spans="19:28" ht="23.25" customHeight="1" x14ac:dyDescent="0.25">
      <c r="S247" s="168">
        <v>2797</v>
      </c>
      <c r="T247" s="168" t="s">
        <v>691</v>
      </c>
      <c r="U247" s="167" t="s">
        <v>428</v>
      </c>
      <c r="V247" s="167" t="s">
        <v>432</v>
      </c>
      <c r="W247" s="167" t="s">
        <v>435</v>
      </c>
      <c r="X247" s="167" t="s">
        <v>429</v>
      </c>
      <c r="Y247" s="167" t="s">
        <v>426</v>
      </c>
      <c r="Z247" s="167" t="s">
        <v>431</v>
      </c>
      <c r="AA247" s="167" t="s">
        <v>437</v>
      </c>
      <c r="AB247" s="169" t="s">
        <v>433</v>
      </c>
    </row>
    <row r="248" spans="19:28" ht="23.25" customHeight="1" x14ac:dyDescent="0.25">
      <c r="S248" s="168">
        <v>1773</v>
      </c>
      <c r="T248" s="168" t="s">
        <v>692</v>
      </c>
      <c r="U248" s="167" t="s">
        <v>433</v>
      </c>
      <c r="V248" s="167" t="s">
        <v>432</v>
      </c>
      <c r="W248" s="167" t="s">
        <v>435</v>
      </c>
      <c r="X248" s="167" t="s">
        <v>428</v>
      </c>
      <c r="Y248" s="167" t="s">
        <v>426</v>
      </c>
      <c r="Z248" s="167" t="s">
        <v>431</v>
      </c>
      <c r="AA248" s="167" t="s">
        <v>429</v>
      </c>
      <c r="AB248" s="169" t="s">
        <v>436</v>
      </c>
    </row>
    <row r="249" spans="19:28" ht="23.25" customHeight="1" x14ac:dyDescent="0.25">
      <c r="S249" s="168">
        <v>2541</v>
      </c>
      <c r="T249" s="168" t="s">
        <v>693</v>
      </c>
      <c r="U249" s="167" t="s">
        <v>433</v>
      </c>
      <c r="V249" s="167" t="s">
        <v>432</v>
      </c>
      <c r="W249" s="167" t="s">
        <v>431</v>
      </c>
      <c r="X249" s="167" t="s">
        <v>428</v>
      </c>
      <c r="Y249" s="167" t="s">
        <v>426</v>
      </c>
      <c r="Z249" s="167" t="s">
        <v>429</v>
      </c>
      <c r="AA249" s="167" t="s">
        <v>437</v>
      </c>
      <c r="AB249" s="169" t="s">
        <v>434</v>
      </c>
    </row>
    <row r="250" spans="19:28" ht="23.25" customHeight="1" x14ac:dyDescent="0.25">
      <c r="S250" s="168">
        <v>1517</v>
      </c>
      <c r="T250" s="168" t="s">
        <v>694</v>
      </c>
      <c r="U250" s="167" t="s">
        <v>433</v>
      </c>
      <c r="V250" s="167" t="s">
        <v>432</v>
      </c>
      <c r="W250" s="167" t="s">
        <v>431</v>
      </c>
      <c r="X250" s="167" t="s">
        <v>428</v>
      </c>
      <c r="Y250" s="167" t="s">
        <v>426</v>
      </c>
      <c r="Z250" s="167" t="s">
        <v>429</v>
      </c>
      <c r="AA250" s="167" t="s">
        <v>434</v>
      </c>
      <c r="AB250" s="169" t="s">
        <v>436</v>
      </c>
    </row>
    <row r="251" spans="19:28" ht="23.25" customHeight="1" x14ac:dyDescent="0.25">
      <c r="S251" s="168">
        <v>1005</v>
      </c>
      <c r="T251" s="168" t="s">
        <v>695</v>
      </c>
      <c r="U251" s="167" t="s">
        <v>433</v>
      </c>
      <c r="V251" s="167" t="s">
        <v>432</v>
      </c>
      <c r="W251" s="167" t="s">
        <v>435</v>
      </c>
      <c r="X251" s="167" t="s">
        <v>428</v>
      </c>
      <c r="Y251" s="167" t="s">
        <v>426</v>
      </c>
      <c r="Z251" s="167" t="s">
        <v>431</v>
      </c>
      <c r="AA251" s="167" t="s">
        <v>429</v>
      </c>
      <c r="AB251" s="169" t="s">
        <v>434</v>
      </c>
    </row>
    <row r="252" spans="19:28" ht="23.25" customHeight="1" x14ac:dyDescent="0.25">
      <c r="S252" s="168">
        <v>3869</v>
      </c>
      <c r="T252" s="168" t="s">
        <v>696</v>
      </c>
      <c r="U252" s="167" t="s">
        <v>430</v>
      </c>
      <c r="V252" s="167" t="s">
        <v>435</v>
      </c>
      <c r="W252" s="167" t="s">
        <v>434</v>
      </c>
      <c r="X252" s="167" t="s">
        <v>428</v>
      </c>
      <c r="Y252" s="167" t="s">
        <v>426</v>
      </c>
      <c r="Z252" s="167" t="s">
        <v>429</v>
      </c>
      <c r="AA252" s="167" t="s">
        <v>437</v>
      </c>
      <c r="AB252" s="169" t="s">
        <v>436</v>
      </c>
    </row>
    <row r="253" spans="19:28" ht="23.25" customHeight="1" x14ac:dyDescent="0.25">
      <c r="S253" s="168">
        <v>3741</v>
      </c>
      <c r="T253" s="168" t="s">
        <v>697</v>
      </c>
      <c r="U253" s="167" t="s">
        <v>433</v>
      </c>
      <c r="V253" s="167" t="s">
        <v>435</v>
      </c>
      <c r="W253" s="167" t="s">
        <v>430</v>
      </c>
      <c r="X253" s="167" t="s">
        <v>428</v>
      </c>
      <c r="Y253" s="167" t="s">
        <v>426</v>
      </c>
      <c r="Z253" s="167" t="s">
        <v>429</v>
      </c>
      <c r="AA253" s="167" t="s">
        <v>437</v>
      </c>
      <c r="AB253" s="169" t="s">
        <v>436</v>
      </c>
    </row>
    <row r="254" spans="19:28" ht="23.25" customHeight="1" x14ac:dyDescent="0.25">
      <c r="S254" s="168">
        <v>3485</v>
      </c>
      <c r="T254" s="168" t="s">
        <v>698</v>
      </c>
      <c r="U254" s="167" t="s">
        <v>433</v>
      </c>
      <c r="V254" s="167" t="s">
        <v>430</v>
      </c>
      <c r="W254" s="167" t="s">
        <v>434</v>
      </c>
      <c r="X254" s="167" t="s">
        <v>428</v>
      </c>
      <c r="Y254" s="167" t="s">
        <v>426</v>
      </c>
      <c r="Z254" s="167" t="s">
        <v>429</v>
      </c>
      <c r="AA254" s="167" t="s">
        <v>437</v>
      </c>
      <c r="AB254" s="169" t="s">
        <v>436</v>
      </c>
    </row>
    <row r="255" spans="19:28" ht="23.25" customHeight="1" x14ac:dyDescent="0.25">
      <c r="S255" s="168">
        <v>2973</v>
      </c>
      <c r="T255" s="168" t="s">
        <v>699</v>
      </c>
      <c r="U255" s="167" t="s">
        <v>433</v>
      </c>
      <c r="V255" s="167" t="s">
        <v>435</v>
      </c>
      <c r="W255" s="167" t="s">
        <v>430</v>
      </c>
      <c r="X255" s="167" t="s">
        <v>428</v>
      </c>
      <c r="Y255" s="167" t="s">
        <v>426</v>
      </c>
      <c r="Z255" s="167" t="s">
        <v>429</v>
      </c>
      <c r="AA255" s="167" t="s">
        <v>437</v>
      </c>
      <c r="AB255" s="169" t="s">
        <v>434</v>
      </c>
    </row>
    <row r="256" spans="19:28" ht="23.25" customHeight="1" x14ac:dyDescent="0.25">
      <c r="S256" s="168">
        <v>1949</v>
      </c>
      <c r="T256" s="168" t="s">
        <v>700</v>
      </c>
      <c r="U256" s="167" t="s">
        <v>433</v>
      </c>
      <c r="V256" s="167" t="s">
        <v>435</v>
      </c>
      <c r="W256" s="167" t="s">
        <v>430</v>
      </c>
      <c r="X256" s="167" t="s">
        <v>428</v>
      </c>
      <c r="Y256" s="167" t="s">
        <v>426</v>
      </c>
      <c r="Z256" s="167" t="s">
        <v>429</v>
      </c>
      <c r="AA256" s="167" t="s">
        <v>434</v>
      </c>
      <c r="AB256" s="169" t="s">
        <v>436</v>
      </c>
    </row>
    <row r="257" spans="19:28" ht="23.25" customHeight="1" x14ac:dyDescent="0.25">
      <c r="S257" s="168">
        <v>3677</v>
      </c>
      <c r="T257" s="168" t="s">
        <v>701</v>
      </c>
      <c r="U257" s="167" t="s">
        <v>430</v>
      </c>
      <c r="V257" s="167" t="s">
        <v>432</v>
      </c>
      <c r="W257" s="167" t="s">
        <v>435</v>
      </c>
      <c r="X257" s="167" t="s">
        <v>428</v>
      </c>
      <c r="Y257" s="167" t="s">
        <v>426</v>
      </c>
      <c r="Z257" s="167" t="s">
        <v>429</v>
      </c>
      <c r="AA257" s="167" t="s">
        <v>437</v>
      </c>
      <c r="AB257" s="169" t="s">
        <v>436</v>
      </c>
    </row>
    <row r="258" spans="19:28" ht="23.25" customHeight="1" x14ac:dyDescent="0.25">
      <c r="S258" s="168">
        <v>3421</v>
      </c>
      <c r="T258" s="168" t="s">
        <v>702</v>
      </c>
      <c r="U258" s="167" t="s">
        <v>430</v>
      </c>
      <c r="V258" s="167" t="s">
        <v>432</v>
      </c>
      <c r="W258" s="167" t="s">
        <v>434</v>
      </c>
      <c r="X258" s="167" t="s">
        <v>428</v>
      </c>
      <c r="Y258" s="167" t="s">
        <v>426</v>
      </c>
      <c r="Z258" s="167" t="s">
        <v>429</v>
      </c>
      <c r="AA258" s="167" t="s">
        <v>437</v>
      </c>
      <c r="AB258" s="169" t="s">
        <v>436</v>
      </c>
    </row>
    <row r="259" spans="19:28" ht="23.25" customHeight="1" x14ac:dyDescent="0.25">
      <c r="S259" s="168">
        <v>2909</v>
      </c>
      <c r="T259" s="168" t="s">
        <v>703</v>
      </c>
      <c r="U259" s="167" t="s">
        <v>430</v>
      </c>
      <c r="V259" s="167" t="s">
        <v>432</v>
      </c>
      <c r="W259" s="167" t="s">
        <v>435</v>
      </c>
      <c r="X259" s="167" t="s">
        <v>428</v>
      </c>
      <c r="Y259" s="167" t="s">
        <v>426</v>
      </c>
      <c r="Z259" s="167" t="s">
        <v>429</v>
      </c>
      <c r="AA259" s="167" t="s">
        <v>437</v>
      </c>
      <c r="AB259" s="169" t="s">
        <v>434</v>
      </c>
    </row>
    <row r="260" spans="19:28" ht="23.25" customHeight="1" x14ac:dyDescent="0.25">
      <c r="S260" s="168">
        <v>1885</v>
      </c>
      <c r="T260" s="168" t="s">
        <v>704</v>
      </c>
      <c r="U260" s="167" t="s">
        <v>430</v>
      </c>
      <c r="V260" s="167" t="s">
        <v>432</v>
      </c>
      <c r="W260" s="167" t="s">
        <v>435</v>
      </c>
      <c r="X260" s="167" t="s">
        <v>428</v>
      </c>
      <c r="Y260" s="167" t="s">
        <v>426</v>
      </c>
      <c r="Z260" s="167" t="s">
        <v>429</v>
      </c>
      <c r="AA260" s="167" t="s">
        <v>434</v>
      </c>
      <c r="AB260" s="169" t="s">
        <v>436</v>
      </c>
    </row>
    <row r="261" spans="19:28" ht="23.25" customHeight="1" x14ac:dyDescent="0.25">
      <c r="S261" s="168">
        <v>3293</v>
      </c>
      <c r="T261" s="168" t="s">
        <v>705</v>
      </c>
      <c r="U261" s="167" t="s">
        <v>433</v>
      </c>
      <c r="V261" s="167" t="s">
        <v>432</v>
      </c>
      <c r="W261" s="167" t="s">
        <v>430</v>
      </c>
      <c r="X261" s="167" t="s">
        <v>428</v>
      </c>
      <c r="Y261" s="167" t="s">
        <v>426</v>
      </c>
      <c r="Z261" s="167" t="s">
        <v>429</v>
      </c>
      <c r="AA261" s="167" t="s">
        <v>437</v>
      </c>
      <c r="AB261" s="169" t="s">
        <v>436</v>
      </c>
    </row>
    <row r="262" spans="19:28" ht="23.25" customHeight="1" x14ac:dyDescent="0.25">
      <c r="S262" s="168">
        <v>2781</v>
      </c>
      <c r="T262" s="168" t="s">
        <v>706</v>
      </c>
      <c r="U262" s="167" t="s">
        <v>433</v>
      </c>
      <c r="V262" s="167" t="s">
        <v>432</v>
      </c>
      <c r="W262" s="167" t="s">
        <v>435</v>
      </c>
      <c r="X262" s="167" t="s">
        <v>428</v>
      </c>
      <c r="Y262" s="167" t="s">
        <v>426</v>
      </c>
      <c r="Z262" s="167" t="s">
        <v>429</v>
      </c>
      <c r="AA262" s="167" t="s">
        <v>437</v>
      </c>
      <c r="AB262" s="169" t="s">
        <v>430</v>
      </c>
    </row>
    <row r="263" spans="19:28" ht="23.25" customHeight="1" x14ac:dyDescent="0.25">
      <c r="S263" s="168">
        <v>1757</v>
      </c>
      <c r="T263" s="168" t="s">
        <v>707</v>
      </c>
      <c r="U263" s="167" t="s">
        <v>433</v>
      </c>
      <c r="V263" s="167" t="s">
        <v>432</v>
      </c>
      <c r="W263" s="167" t="s">
        <v>435</v>
      </c>
      <c r="X263" s="167" t="s">
        <v>428</v>
      </c>
      <c r="Y263" s="167" t="s">
        <v>426</v>
      </c>
      <c r="Z263" s="167" t="s">
        <v>429</v>
      </c>
      <c r="AA263" s="167" t="s">
        <v>430</v>
      </c>
      <c r="AB263" s="169" t="s">
        <v>436</v>
      </c>
    </row>
    <row r="264" spans="19:28" ht="23.25" customHeight="1" x14ac:dyDescent="0.25">
      <c r="S264" s="168">
        <v>2525</v>
      </c>
      <c r="T264" s="168" t="s">
        <v>708</v>
      </c>
      <c r="U264" s="167" t="s">
        <v>433</v>
      </c>
      <c r="V264" s="167" t="s">
        <v>432</v>
      </c>
      <c r="W264" s="167" t="s">
        <v>430</v>
      </c>
      <c r="X264" s="167" t="s">
        <v>428</v>
      </c>
      <c r="Y264" s="167" t="s">
        <v>426</v>
      </c>
      <c r="Z264" s="167" t="s">
        <v>429</v>
      </c>
      <c r="AA264" s="167" t="s">
        <v>437</v>
      </c>
      <c r="AB264" s="169" t="s">
        <v>434</v>
      </c>
    </row>
    <row r="265" spans="19:28" ht="23.25" customHeight="1" x14ac:dyDescent="0.25">
      <c r="S265" s="168">
        <v>1501</v>
      </c>
      <c r="T265" s="168" t="s">
        <v>709</v>
      </c>
      <c r="U265" s="167" t="s">
        <v>433</v>
      </c>
      <c r="V265" s="167" t="s">
        <v>432</v>
      </c>
      <c r="W265" s="167" t="s">
        <v>430</v>
      </c>
      <c r="X265" s="167" t="s">
        <v>428</v>
      </c>
      <c r="Y265" s="167" t="s">
        <v>426</v>
      </c>
      <c r="Z265" s="167" t="s">
        <v>429</v>
      </c>
      <c r="AA265" s="167" t="s">
        <v>434</v>
      </c>
      <c r="AB265" s="169" t="s">
        <v>436</v>
      </c>
    </row>
    <row r="266" spans="19:28" ht="23.25" customHeight="1" x14ac:dyDescent="0.25">
      <c r="S266" s="168">
        <v>989</v>
      </c>
      <c r="T266" s="168" t="s">
        <v>710</v>
      </c>
      <c r="U266" s="167" t="s">
        <v>433</v>
      </c>
      <c r="V266" s="167" t="s">
        <v>432</v>
      </c>
      <c r="W266" s="167" t="s">
        <v>435</v>
      </c>
      <c r="X266" s="167" t="s">
        <v>428</v>
      </c>
      <c r="Y266" s="167" t="s">
        <v>426</v>
      </c>
      <c r="Z266" s="167" t="s">
        <v>429</v>
      </c>
      <c r="AA266" s="167" t="s">
        <v>430</v>
      </c>
      <c r="AB266" s="169" t="s">
        <v>434</v>
      </c>
    </row>
    <row r="267" spans="19:28" ht="23.25" customHeight="1" x14ac:dyDescent="0.25">
      <c r="S267" s="168">
        <v>3645</v>
      </c>
      <c r="T267" s="168" t="s">
        <v>711</v>
      </c>
      <c r="U267" s="167" t="s">
        <v>428</v>
      </c>
      <c r="V267" s="167" t="s">
        <v>435</v>
      </c>
      <c r="W267" s="167" t="s">
        <v>430</v>
      </c>
      <c r="X267" s="167" t="s">
        <v>429</v>
      </c>
      <c r="Y267" s="167" t="s">
        <v>426</v>
      </c>
      <c r="Z267" s="167" t="s">
        <v>431</v>
      </c>
      <c r="AA267" s="167" t="s">
        <v>437</v>
      </c>
      <c r="AB267" s="169" t="s">
        <v>436</v>
      </c>
    </row>
    <row r="268" spans="19:28" ht="23.25" customHeight="1" x14ac:dyDescent="0.25">
      <c r="S268" s="168">
        <v>3389</v>
      </c>
      <c r="T268" s="168" t="s">
        <v>712</v>
      </c>
      <c r="U268" s="167" t="s">
        <v>428</v>
      </c>
      <c r="V268" s="167" t="s">
        <v>430</v>
      </c>
      <c r="W268" s="167" t="s">
        <v>434</v>
      </c>
      <c r="X268" s="167" t="s">
        <v>429</v>
      </c>
      <c r="Y268" s="167" t="s">
        <v>426</v>
      </c>
      <c r="Z268" s="167" t="s">
        <v>431</v>
      </c>
      <c r="AA268" s="167" t="s">
        <v>437</v>
      </c>
      <c r="AB268" s="169" t="s">
        <v>436</v>
      </c>
    </row>
    <row r="269" spans="19:28" ht="23.25" customHeight="1" x14ac:dyDescent="0.25">
      <c r="S269" s="168">
        <v>2877</v>
      </c>
      <c r="T269" s="168" t="s">
        <v>713</v>
      </c>
      <c r="U269" s="167" t="s">
        <v>428</v>
      </c>
      <c r="V269" s="167" t="s">
        <v>435</v>
      </c>
      <c r="W269" s="167" t="s">
        <v>430</v>
      </c>
      <c r="X269" s="167" t="s">
        <v>429</v>
      </c>
      <c r="Y269" s="167" t="s">
        <v>426</v>
      </c>
      <c r="Z269" s="167" t="s">
        <v>431</v>
      </c>
      <c r="AA269" s="167" t="s">
        <v>437</v>
      </c>
      <c r="AB269" s="169" t="s">
        <v>434</v>
      </c>
    </row>
    <row r="270" spans="19:28" ht="23.25" customHeight="1" x14ac:dyDescent="0.25">
      <c r="S270" s="168">
        <v>1853</v>
      </c>
      <c r="T270" s="168" t="s">
        <v>714</v>
      </c>
      <c r="U270" s="167" t="s">
        <v>428</v>
      </c>
      <c r="V270" s="167" t="s">
        <v>435</v>
      </c>
      <c r="W270" s="167" t="s">
        <v>430</v>
      </c>
      <c r="X270" s="167" t="s">
        <v>429</v>
      </c>
      <c r="Y270" s="167" t="s">
        <v>426</v>
      </c>
      <c r="Z270" s="167" t="s">
        <v>431</v>
      </c>
      <c r="AA270" s="167" t="s">
        <v>434</v>
      </c>
      <c r="AB270" s="169" t="s">
        <v>436</v>
      </c>
    </row>
    <row r="271" spans="19:28" ht="23.25" customHeight="1" x14ac:dyDescent="0.25">
      <c r="S271" s="168">
        <v>3261</v>
      </c>
      <c r="T271" s="168" t="s">
        <v>715</v>
      </c>
      <c r="U271" s="167" t="s">
        <v>433</v>
      </c>
      <c r="V271" s="167" t="s">
        <v>430</v>
      </c>
      <c r="W271" s="167" t="s">
        <v>431</v>
      </c>
      <c r="X271" s="167" t="s">
        <v>428</v>
      </c>
      <c r="Y271" s="167" t="s">
        <v>426</v>
      </c>
      <c r="Z271" s="167" t="s">
        <v>429</v>
      </c>
      <c r="AA271" s="167" t="s">
        <v>437</v>
      </c>
      <c r="AB271" s="169" t="s">
        <v>436</v>
      </c>
    </row>
    <row r="272" spans="19:28" ht="23.25" customHeight="1" x14ac:dyDescent="0.25">
      <c r="S272" s="168">
        <v>2749</v>
      </c>
      <c r="T272" s="168" t="s">
        <v>716</v>
      </c>
      <c r="U272" s="167" t="s">
        <v>433</v>
      </c>
      <c r="V272" s="167" t="s">
        <v>435</v>
      </c>
      <c r="W272" s="167" t="s">
        <v>431</v>
      </c>
      <c r="X272" s="167" t="s">
        <v>428</v>
      </c>
      <c r="Y272" s="167" t="s">
        <v>426</v>
      </c>
      <c r="Z272" s="167" t="s">
        <v>429</v>
      </c>
      <c r="AA272" s="167" t="s">
        <v>437</v>
      </c>
      <c r="AB272" s="169" t="s">
        <v>430</v>
      </c>
    </row>
    <row r="273" spans="19:28" ht="23.25" customHeight="1" x14ac:dyDescent="0.25">
      <c r="S273" s="168">
        <v>1725</v>
      </c>
      <c r="T273" s="168" t="s">
        <v>717</v>
      </c>
      <c r="U273" s="167" t="s">
        <v>433</v>
      </c>
      <c r="V273" s="167" t="s">
        <v>435</v>
      </c>
      <c r="W273" s="167" t="s">
        <v>430</v>
      </c>
      <c r="X273" s="167" t="s">
        <v>428</v>
      </c>
      <c r="Y273" s="167" t="s">
        <v>426</v>
      </c>
      <c r="Z273" s="167" t="s">
        <v>431</v>
      </c>
      <c r="AA273" s="167" t="s">
        <v>429</v>
      </c>
      <c r="AB273" s="169" t="s">
        <v>436</v>
      </c>
    </row>
    <row r="274" spans="19:28" ht="23.25" customHeight="1" x14ac:dyDescent="0.25">
      <c r="S274" s="168">
        <v>2493</v>
      </c>
      <c r="T274" s="168" t="s">
        <v>718</v>
      </c>
      <c r="U274" s="167" t="s">
        <v>433</v>
      </c>
      <c r="V274" s="167" t="s">
        <v>430</v>
      </c>
      <c r="W274" s="167" t="s">
        <v>431</v>
      </c>
      <c r="X274" s="167" t="s">
        <v>428</v>
      </c>
      <c r="Y274" s="167" t="s">
        <v>426</v>
      </c>
      <c r="Z274" s="167" t="s">
        <v>429</v>
      </c>
      <c r="AA274" s="167" t="s">
        <v>437</v>
      </c>
      <c r="AB274" s="169" t="s">
        <v>434</v>
      </c>
    </row>
    <row r="275" spans="19:28" ht="23.25" customHeight="1" x14ac:dyDescent="0.25">
      <c r="S275" s="168">
        <v>1469</v>
      </c>
      <c r="T275" s="168" t="s">
        <v>719</v>
      </c>
      <c r="U275" s="167" t="s">
        <v>433</v>
      </c>
      <c r="V275" s="167" t="s">
        <v>430</v>
      </c>
      <c r="W275" s="167" t="s">
        <v>431</v>
      </c>
      <c r="X275" s="167" t="s">
        <v>428</v>
      </c>
      <c r="Y275" s="167" t="s">
        <v>426</v>
      </c>
      <c r="Z275" s="167" t="s">
        <v>429</v>
      </c>
      <c r="AA275" s="167" t="s">
        <v>434</v>
      </c>
      <c r="AB275" s="169" t="s">
        <v>436</v>
      </c>
    </row>
    <row r="276" spans="19:28" ht="23.25" customHeight="1" x14ac:dyDescent="0.25">
      <c r="S276" s="168">
        <v>957</v>
      </c>
      <c r="T276" s="168" t="s">
        <v>720</v>
      </c>
      <c r="U276" s="167" t="s">
        <v>433</v>
      </c>
      <c r="V276" s="167" t="s">
        <v>435</v>
      </c>
      <c r="W276" s="167" t="s">
        <v>430</v>
      </c>
      <c r="X276" s="167" t="s">
        <v>428</v>
      </c>
      <c r="Y276" s="167" t="s">
        <v>426</v>
      </c>
      <c r="Z276" s="167" t="s">
        <v>431</v>
      </c>
      <c r="AA276" s="167" t="s">
        <v>429</v>
      </c>
      <c r="AB276" s="169" t="s">
        <v>434</v>
      </c>
    </row>
    <row r="277" spans="19:28" ht="23.25" customHeight="1" x14ac:dyDescent="0.25">
      <c r="S277" s="168">
        <v>3197</v>
      </c>
      <c r="T277" s="168" t="s">
        <v>721</v>
      </c>
      <c r="U277" s="167" t="s">
        <v>428</v>
      </c>
      <c r="V277" s="167" t="s">
        <v>432</v>
      </c>
      <c r="W277" s="167" t="s">
        <v>430</v>
      </c>
      <c r="X277" s="167" t="s">
        <v>429</v>
      </c>
      <c r="Y277" s="167" t="s">
        <v>426</v>
      </c>
      <c r="Z277" s="167" t="s">
        <v>431</v>
      </c>
      <c r="AA277" s="167" t="s">
        <v>437</v>
      </c>
      <c r="AB277" s="169" t="s">
        <v>436</v>
      </c>
    </row>
    <row r="278" spans="19:28" ht="23.25" customHeight="1" x14ac:dyDescent="0.25">
      <c r="S278" s="168">
        <v>2685</v>
      </c>
      <c r="T278" s="168" t="s">
        <v>722</v>
      </c>
      <c r="U278" s="167" t="s">
        <v>428</v>
      </c>
      <c r="V278" s="167" t="s">
        <v>432</v>
      </c>
      <c r="W278" s="167" t="s">
        <v>435</v>
      </c>
      <c r="X278" s="167" t="s">
        <v>429</v>
      </c>
      <c r="Y278" s="167" t="s">
        <v>426</v>
      </c>
      <c r="Z278" s="167" t="s">
        <v>431</v>
      </c>
      <c r="AA278" s="167" t="s">
        <v>437</v>
      </c>
      <c r="AB278" s="169" t="s">
        <v>430</v>
      </c>
    </row>
    <row r="279" spans="19:28" ht="23.25" customHeight="1" x14ac:dyDescent="0.25">
      <c r="S279" s="168">
        <v>1661</v>
      </c>
      <c r="T279" s="168" t="s">
        <v>723</v>
      </c>
      <c r="U279" s="167" t="s">
        <v>428</v>
      </c>
      <c r="V279" s="167" t="s">
        <v>432</v>
      </c>
      <c r="W279" s="167" t="s">
        <v>435</v>
      </c>
      <c r="X279" s="167" t="s">
        <v>429</v>
      </c>
      <c r="Y279" s="167" t="s">
        <v>426</v>
      </c>
      <c r="Z279" s="167" t="s">
        <v>431</v>
      </c>
      <c r="AA279" s="167" t="s">
        <v>430</v>
      </c>
      <c r="AB279" s="169" t="s">
        <v>436</v>
      </c>
    </row>
    <row r="280" spans="19:28" ht="23.25" customHeight="1" x14ac:dyDescent="0.25">
      <c r="S280" s="168">
        <v>2429</v>
      </c>
      <c r="T280" s="168" t="s">
        <v>724</v>
      </c>
      <c r="U280" s="167" t="s">
        <v>428</v>
      </c>
      <c r="V280" s="167" t="s">
        <v>432</v>
      </c>
      <c r="W280" s="167" t="s">
        <v>430</v>
      </c>
      <c r="X280" s="167" t="s">
        <v>429</v>
      </c>
      <c r="Y280" s="167" t="s">
        <v>426</v>
      </c>
      <c r="Z280" s="167" t="s">
        <v>431</v>
      </c>
      <c r="AA280" s="167" t="s">
        <v>437</v>
      </c>
      <c r="AB280" s="169" t="s">
        <v>434</v>
      </c>
    </row>
    <row r="281" spans="19:28" ht="23.25" customHeight="1" x14ac:dyDescent="0.25">
      <c r="S281" s="168">
        <v>1405</v>
      </c>
      <c r="T281" s="168" t="s">
        <v>725</v>
      </c>
      <c r="U281" s="167" t="s">
        <v>428</v>
      </c>
      <c r="V281" s="167" t="s">
        <v>432</v>
      </c>
      <c r="W281" s="167" t="s">
        <v>430</v>
      </c>
      <c r="X281" s="167" t="s">
        <v>429</v>
      </c>
      <c r="Y281" s="167" t="s">
        <v>426</v>
      </c>
      <c r="Z281" s="167" t="s">
        <v>431</v>
      </c>
      <c r="AA281" s="167" t="s">
        <v>434</v>
      </c>
      <c r="AB281" s="169" t="s">
        <v>436</v>
      </c>
    </row>
    <row r="282" spans="19:28" ht="23.25" customHeight="1" x14ac:dyDescent="0.25">
      <c r="S282" s="168">
        <v>893</v>
      </c>
      <c r="T282" s="168" t="s">
        <v>726</v>
      </c>
      <c r="U282" s="167" t="s">
        <v>428</v>
      </c>
      <c r="V282" s="167" t="s">
        <v>432</v>
      </c>
      <c r="W282" s="167" t="s">
        <v>435</v>
      </c>
      <c r="X282" s="167" t="s">
        <v>429</v>
      </c>
      <c r="Y282" s="167" t="s">
        <v>426</v>
      </c>
      <c r="Z282" s="167" t="s">
        <v>431</v>
      </c>
      <c r="AA282" s="167" t="s">
        <v>430</v>
      </c>
      <c r="AB282" s="169" t="s">
        <v>434</v>
      </c>
    </row>
    <row r="283" spans="19:28" ht="23.25" customHeight="1" x14ac:dyDescent="0.25">
      <c r="S283" s="168">
        <v>2301</v>
      </c>
      <c r="T283" s="168" t="s">
        <v>727</v>
      </c>
      <c r="U283" s="167" t="s">
        <v>433</v>
      </c>
      <c r="V283" s="167" t="s">
        <v>432</v>
      </c>
      <c r="W283" s="167" t="s">
        <v>431</v>
      </c>
      <c r="X283" s="167" t="s">
        <v>428</v>
      </c>
      <c r="Y283" s="167" t="s">
        <v>426</v>
      </c>
      <c r="Z283" s="167" t="s">
        <v>429</v>
      </c>
      <c r="AA283" s="167" t="s">
        <v>437</v>
      </c>
      <c r="AB283" s="169" t="s">
        <v>430</v>
      </c>
    </row>
    <row r="284" spans="19:28" ht="23.25" customHeight="1" x14ac:dyDescent="0.25">
      <c r="S284" s="168">
        <v>1277</v>
      </c>
      <c r="T284" s="168" t="s">
        <v>728</v>
      </c>
      <c r="U284" s="167" t="s">
        <v>433</v>
      </c>
      <c r="V284" s="167" t="s">
        <v>432</v>
      </c>
      <c r="W284" s="167" t="s">
        <v>430</v>
      </c>
      <c r="X284" s="167" t="s">
        <v>428</v>
      </c>
      <c r="Y284" s="167" t="s">
        <v>426</v>
      </c>
      <c r="Z284" s="167" t="s">
        <v>431</v>
      </c>
      <c r="AA284" s="167" t="s">
        <v>429</v>
      </c>
      <c r="AB284" s="169" t="s">
        <v>436</v>
      </c>
    </row>
    <row r="285" spans="19:28" ht="23.25" customHeight="1" x14ac:dyDescent="0.25">
      <c r="S285" s="168">
        <v>765</v>
      </c>
      <c r="T285" s="168" t="s">
        <v>729</v>
      </c>
      <c r="U285" s="167" t="s">
        <v>433</v>
      </c>
      <c r="V285" s="167" t="s">
        <v>432</v>
      </c>
      <c r="W285" s="167" t="s">
        <v>435</v>
      </c>
      <c r="X285" s="167" t="s">
        <v>428</v>
      </c>
      <c r="Y285" s="167" t="s">
        <v>426</v>
      </c>
      <c r="Z285" s="167" t="s">
        <v>431</v>
      </c>
      <c r="AA285" s="167" t="s">
        <v>429</v>
      </c>
      <c r="AB285" s="169" t="s">
        <v>430</v>
      </c>
    </row>
    <row r="286" spans="19:28" ht="23.25" customHeight="1" x14ac:dyDescent="0.25">
      <c r="S286" s="168">
        <v>509</v>
      </c>
      <c r="T286" s="168" t="s">
        <v>730</v>
      </c>
      <c r="U286" s="167" t="s">
        <v>433</v>
      </c>
      <c r="V286" s="167" t="s">
        <v>432</v>
      </c>
      <c r="W286" s="167" t="s">
        <v>430</v>
      </c>
      <c r="X286" s="167" t="s">
        <v>428</v>
      </c>
      <c r="Y286" s="167" t="s">
        <v>426</v>
      </c>
      <c r="Z286" s="167" t="s">
        <v>431</v>
      </c>
      <c r="AA286" s="167" t="s">
        <v>429</v>
      </c>
      <c r="AB286" s="169" t="s">
        <v>434</v>
      </c>
    </row>
    <row r="287" spans="19:28" ht="23.25" customHeight="1" x14ac:dyDescent="0.25">
      <c r="S287" s="168">
        <v>4035</v>
      </c>
      <c r="T287" s="168" t="s">
        <v>731</v>
      </c>
      <c r="U287" s="167" t="s">
        <v>433</v>
      </c>
      <c r="V287" s="167" t="s">
        <v>435</v>
      </c>
      <c r="W287" s="167" t="s">
        <v>427</v>
      </c>
      <c r="X287" s="167" t="s">
        <v>426</v>
      </c>
      <c r="Y287" s="167" t="s">
        <v>434</v>
      </c>
      <c r="Z287" s="167" t="s">
        <v>432</v>
      </c>
      <c r="AA287" s="167" t="s">
        <v>437</v>
      </c>
      <c r="AB287" s="169" t="s">
        <v>436</v>
      </c>
    </row>
    <row r="288" spans="19:28" ht="23.25" customHeight="1" x14ac:dyDescent="0.25">
      <c r="S288" s="168">
        <v>4003</v>
      </c>
      <c r="T288" s="168" t="s">
        <v>732</v>
      </c>
      <c r="U288" s="167" t="s">
        <v>433</v>
      </c>
      <c r="V288" s="167" t="s">
        <v>435</v>
      </c>
      <c r="W288" s="167" t="s">
        <v>427</v>
      </c>
      <c r="X288" s="167" t="s">
        <v>426</v>
      </c>
      <c r="Y288" s="167" t="s">
        <v>434</v>
      </c>
      <c r="Z288" s="167" t="s">
        <v>431</v>
      </c>
      <c r="AA288" s="167" t="s">
        <v>437</v>
      </c>
      <c r="AB288" s="169" t="s">
        <v>436</v>
      </c>
    </row>
    <row r="289" spans="19:28" ht="23.25" customHeight="1" x14ac:dyDescent="0.25">
      <c r="S289" s="168">
        <v>3939</v>
      </c>
      <c r="T289" s="168" t="s">
        <v>733</v>
      </c>
      <c r="U289" s="167" t="s">
        <v>434</v>
      </c>
      <c r="V289" s="167" t="s">
        <v>435</v>
      </c>
      <c r="W289" s="167" t="s">
        <v>427</v>
      </c>
      <c r="X289" s="167" t="s">
        <v>431</v>
      </c>
      <c r="Y289" s="167" t="s">
        <v>426</v>
      </c>
      <c r="Z289" s="167" t="s">
        <v>432</v>
      </c>
      <c r="AA289" s="167" t="s">
        <v>437</v>
      </c>
      <c r="AB289" s="169" t="s">
        <v>436</v>
      </c>
    </row>
    <row r="290" spans="19:28" ht="23.25" customHeight="1" x14ac:dyDescent="0.25">
      <c r="S290" s="168">
        <v>3811</v>
      </c>
      <c r="T290" s="168" t="s">
        <v>734</v>
      </c>
      <c r="U290" s="167" t="s">
        <v>433</v>
      </c>
      <c r="V290" s="167" t="s">
        <v>435</v>
      </c>
      <c r="W290" s="167" t="s">
        <v>427</v>
      </c>
      <c r="X290" s="167" t="s">
        <v>431</v>
      </c>
      <c r="Y290" s="167" t="s">
        <v>426</v>
      </c>
      <c r="Z290" s="167" t="s">
        <v>432</v>
      </c>
      <c r="AA290" s="167" t="s">
        <v>437</v>
      </c>
      <c r="AB290" s="169" t="s">
        <v>436</v>
      </c>
    </row>
    <row r="291" spans="19:28" ht="23.25" customHeight="1" x14ac:dyDescent="0.25">
      <c r="S291" s="168">
        <v>3555</v>
      </c>
      <c r="T291" s="168" t="s">
        <v>735</v>
      </c>
      <c r="U291" s="167" t="s">
        <v>433</v>
      </c>
      <c r="V291" s="167" t="s">
        <v>432</v>
      </c>
      <c r="W291" s="167" t="s">
        <v>427</v>
      </c>
      <c r="X291" s="167" t="s">
        <v>426</v>
      </c>
      <c r="Y291" s="167" t="s">
        <v>434</v>
      </c>
      <c r="Z291" s="167" t="s">
        <v>431</v>
      </c>
      <c r="AA291" s="167" t="s">
        <v>437</v>
      </c>
      <c r="AB291" s="169" t="s">
        <v>436</v>
      </c>
    </row>
    <row r="292" spans="19:28" ht="23.25" customHeight="1" x14ac:dyDescent="0.25">
      <c r="S292" s="168">
        <v>3043</v>
      </c>
      <c r="T292" s="168" t="s">
        <v>736</v>
      </c>
      <c r="U292" s="167" t="s">
        <v>433</v>
      </c>
      <c r="V292" s="167" t="s">
        <v>435</v>
      </c>
      <c r="W292" s="167" t="s">
        <v>427</v>
      </c>
      <c r="X292" s="167" t="s">
        <v>431</v>
      </c>
      <c r="Y292" s="167" t="s">
        <v>426</v>
      </c>
      <c r="Z292" s="167" t="s">
        <v>432</v>
      </c>
      <c r="AA292" s="167" t="s">
        <v>437</v>
      </c>
      <c r="AB292" s="169" t="s">
        <v>434</v>
      </c>
    </row>
    <row r="293" spans="19:28" ht="23.25" customHeight="1" x14ac:dyDescent="0.25">
      <c r="S293" s="168">
        <v>2019</v>
      </c>
      <c r="T293" s="168" t="s">
        <v>737</v>
      </c>
      <c r="U293" s="167" t="s">
        <v>433</v>
      </c>
      <c r="V293" s="167" t="s">
        <v>435</v>
      </c>
      <c r="W293" s="167" t="s">
        <v>427</v>
      </c>
      <c r="X293" s="167" t="s">
        <v>431</v>
      </c>
      <c r="Y293" s="167" t="s">
        <v>426</v>
      </c>
      <c r="Z293" s="167" t="s">
        <v>432</v>
      </c>
      <c r="AA293" s="167" t="s">
        <v>434</v>
      </c>
      <c r="AB293" s="169" t="s">
        <v>436</v>
      </c>
    </row>
    <row r="294" spans="19:28" ht="23.25" customHeight="1" x14ac:dyDescent="0.25">
      <c r="S294" s="168">
        <v>3987</v>
      </c>
      <c r="T294" s="168" t="s">
        <v>738</v>
      </c>
      <c r="U294" s="167" t="s">
        <v>430</v>
      </c>
      <c r="V294" s="167" t="s">
        <v>435</v>
      </c>
      <c r="W294" s="167" t="s">
        <v>427</v>
      </c>
      <c r="X294" s="167" t="s">
        <v>426</v>
      </c>
      <c r="Y294" s="167" t="s">
        <v>434</v>
      </c>
      <c r="Z294" s="167" t="s">
        <v>433</v>
      </c>
      <c r="AA294" s="167" t="s">
        <v>437</v>
      </c>
      <c r="AB294" s="169" t="s">
        <v>436</v>
      </c>
    </row>
    <row r="295" spans="19:28" ht="23.25" customHeight="1" x14ac:dyDescent="0.25">
      <c r="S295" s="168">
        <v>3923</v>
      </c>
      <c r="T295" s="168" t="s">
        <v>739</v>
      </c>
      <c r="U295" s="167" t="s">
        <v>430</v>
      </c>
      <c r="V295" s="167" t="s">
        <v>435</v>
      </c>
      <c r="W295" s="167" t="s">
        <v>427</v>
      </c>
      <c r="X295" s="167" t="s">
        <v>426</v>
      </c>
      <c r="Y295" s="167" t="s">
        <v>434</v>
      </c>
      <c r="Z295" s="167" t="s">
        <v>432</v>
      </c>
      <c r="AA295" s="167" t="s">
        <v>437</v>
      </c>
      <c r="AB295" s="169" t="s">
        <v>436</v>
      </c>
    </row>
    <row r="296" spans="19:28" ht="23.25" customHeight="1" x14ac:dyDescent="0.25">
      <c r="S296" s="168">
        <v>3795</v>
      </c>
      <c r="T296" s="168" t="s">
        <v>740</v>
      </c>
      <c r="U296" s="167" t="s">
        <v>430</v>
      </c>
      <c r="V296" s="167" t="s">
        <v>435</v>
      </c>
      <c r="W296" s="167" t="s">
        <v>427</v>
      </c>
      <c r="X296" s="167" t="s">
        <v>426</v>
      </c>
      <c r="Y296" s="167" t="s">
        <v>433</v>
      </c>
      <c r="Z296" s="167" t="s">
        <v>432</v>
      </c>
      <c r="AA296" s="167" t="s">
        <v>437</v>
      </c>
      <c r="AB296" s="169" t="s">
        <v>436</v>
      </c>
    </row>
    <row r="297" spans="19:28" ht="23.25" customHeight="1" x14ac:dyDescent="0.25">
      <c r="S297" s="168">
        <v>3539</v>
      </c>
      <c r="T297" s="168" t="s">
        <v>741</v>
      </c>
      <c r="U297" s="167" t="s">
        <v>430</v>
      </c>
      <c r="V297" s="167" t="s">
        <v>432</v>
      </c>
      <c r="W297" s="167" t="s">
        <v>427</v>
      </c>
      <c r="X297" s="167" t="s">
        <v>426</v>
      </c>
      <c r="Y297" s="167" t="s">
        <v>434</v>
      </c>
      <c r="Z297" s="167" t="s">
        <v>433</v>
      </c>
      <c r="AA297" s="167" t="s">
        <v>437</v>
      </c>
      <c r="AB297" s="169" t="s">
        <v>436</v>
      </c>
    </row>
    <row r="298" spans="19:28" ht="23.25" customHeight="1" x14ac:dyDescent="0.25">
      <c r="S298" s="168">
        <v>3027</v>
      </c>
      <c r="T298" s="168" t="s">
        <v>742</v>
      </c>
      <c r="U298" s="167" t="s">
        <v>430</v>
      </c>
      <c r="V298" s="167" t="s">
        <v>435</v>
      </c>
      <c r="W298" s="167" t="s">
        <v>427</v>
      </c>
      <c r="X298" s="167" t="s">
        <v>426</v>
      </c>
      <c r="Y298" s="167" t="s">
        <v>433</v>
      </c>
      <c r="Z298" s="167" t="s">
        <v>432</v>
      </c>
      <c r="AA298" s="167" t="s">
        <v>437</v>
      </c>
      <c r="AB298" s="169" t="s">
        <v>434</v>
      </c>
    </row>
    <row r="299" spans="19:28" ht="23.25" customHeight="1" x14ac:dyDescent="0.25">
      <c r="S299" s="168">
        <v>2003</v>
      </c>
      <c r="T299" s="168" t="s">
        <v>743</v>
      </c>
      <c r="U299" s="167" t="s">
        <v>430</v>
      </c>
      <c r="V299" s="167" t="s">
        <v>435</v>
      </c>
      <c r="W299" s="167" t="s">
        <v>427</v>
      </c>
      <c r="X299" s="167" t="s">
        <v>426</v>
      </c>
      <c r="Y299" s="167" t="s">
        <v>433</v>
      </c>
      <c r="Z299" s="167" t="s">
        <v>432</v>
      </c>
      <c r="AA299" s="167" t="s">
        <v>434</v>
      </c>
      <c r="AB299" s="169" t="s">
        <v>436</v>
      </c>
    </row>
    <row r="300" spans="19:28" ht="23.25" customHeight="1" x14ac:dyDescent="0.25">
      <c r="S300" s="168">
        <v>3891</v>
      </c>
      <c r="T300" s="168" t="s">
        <v>744</v>
      </c>
      <c r="U300" s="167" t="s">
        <v>430</v>
      </c>
      <c r="V300" s="167" t="s">
        <v>435</v>
      </c>
      <c r="W300" s="167" t="s">
        <v>427</v>
      </c>
      <c r="X300" s="167" t="s">
        <v>426</v>
      </c>
      <c r="Y300" s="167" t="s">
        <v>434</v>
      </c>
      <c r="Z300" s="167" t="s">
        <v>431</v>
      </c>
      <c r="AA300" s="167" t="s">
        <v>437</v>
      </c>
      <c r="AB300" s="169" t="s">
        <v>436</v>
      </c>
    </row>
    <row r="301" spans="19:28" ht="23.25" customHeight="1" x14ac:dyDescent="0.25">
      <c r="S301" s="168">
        <v>3763</v>
      </c>
      <c r="T301" s="168" t="s">
        <v>745</v>
      </c>
      <c r="U301" s="167" t="s">
        <v>430</v>
      </c>
      <c r="V301" s="167" t="s">
        <v>435</v>
      </c>
      <c r="W301" s="167" t="s">
        <v>427</v>
      </c>
      <c r="X301" s="167" t="s">
        <v>431</v>
      </c>
      <c r="Y301" s="167" t="s">
        <v>426</v>
      </c>
      <c r="Z301" s="167" t="s">
        <v>433</v>
      </c>
      <c r="AA301" s="167" t="s">
        <v>437</v>
      </c>
      <c r="AB301" s="169" t="s">
        <v>436</v>
      </c>
    </row>
    <row r="302" spans="19:28" ht="23.25" customHeight="1" x14ac:dyDescent="0.25">
      <c r="S302" s="168">
        <v>3507</v>
      </c>
      <c r="T302" s="168" t="s">
        <v>746</v>
      </c>
      <c r="U302" s="167" t="s">
        <v>430</v>
      </c>
      <c r="V302" s="167" t="s">
        <v>434</v>
      </c>
      <c r="W302" s="167" t="s">
        <v>427</v>
      </c>
      <c r="X302" s="167" t="s">
        <v>431</v>
      </c>
      <c r="Y302" s="167" t="s">
        <v>426</v>
      </c>
      <c r="Z302" s="167" t="s">
        <v>433</v>
      </c>
      <c r="AA302" s="167" t="s">
        <v>437</v>
      </c>
      <c r="AB302" s="169" t="s">
        <v>436</v>
      </c>
    </row>
    <row r="303" spans="19:28" ht="23.25" customHeight="1" x14ac:dyDescent="0.25">
      <c r="S303" s="168">
        <v>2995</v>
      </c>
      <c r="T303" s="168" t="s">
        <v>747</v>
      </c>
      <c r="U303" s="167" t="s">
        <v>430</v>
      </c>
      <c r="V303" s="167" t="s">
        <v>435</v>
      </c>
      <c r="W303" s="167" t="s">
        <v>427</v>
      </c>
      <c r="X303" s="167" t="s">
        <v>431</v>
      </c>
      <c r="Y303" s="167" t="s">
        <v>426</v>
      </c>
      <c r="Z303" s="167" t="s">
        <v>433</v>
      </c>
      <c r="AA303" s="167" t="s">
        <v>437</v>
      </c>
      <c r="AB303" s="169" t="s">
        <v>434</v>
      </c>
    </row>
    <row r="304" spans="19:28" ht="23.25" customHeight="1" x14ac:dyDescent="0.25">
      <c r="S304" s="168">
        <v>1971</v>
      </c>
      <c r="T304" s="168" t="s">
        <v>748</v>
      </c>
      <c r="U304" s="167" t="s">
        <v>430</v>
      </c>
      <c r="V304" s="167" t="s">
        <v>435</v>
      </c>
      <c r="W304" s="167" t="s">
        <v>427</v>
      </c>
      <c r="X304" s="167" t="s">
        <v>431</v>
      </c>
      <c r="Y304" s="167" t="s">
        <v>426</v>
      </c>
      <c r="Z304" s="167" t="s">
        <v>433</v>
      </c>
      <c r="AA304" s="167" t="s">
        <v>434</v>
      </c>
      <c r="AB304" s="169" t="s">
        <v>436</v>
      </c>
    </row>
    <row r="305" spans="19:28" ht="23.25" customHeight="1" x14ac:dyDescent="0.25">
      <c r="S305" s="168">
        <v>3699</v>
      </c>
      <c r="T305" s="168" t="s">
        <v>749</v>
      </c>
      <c r="U305" s="167" t="s">
        <v>430</v>
      </c>
      <c r="V305" s="167" t="s">
        <v>435</v>
      </c>
      <c r="W305" s="167" t="s">
        <v>427</v>
      </c>
      <c r="X305" s="167" t="s">
        <v>431</v>
      </c>
      <c r="Y305" s="167" t="s">
        <v>426</v>
      </c>
      <c r="Z305" s="167" t="s">
        <v>432</v>
      </c>
      <c r="AA305" s="167" t="s">
        <v>437</v>
      </c>
      <c r="AB305" s="169" t="s">
        <v>436</v>
      </c>
    </row>
    <row r="306" spans="19:28" ht="23.25" customHeight="1" x14ac:dyDescent="0.25">
      <c r="S306" s="168">
        <v>3443</v>
      </c>
      <c r="T306" s="168" t="s">
        <v>750</v>
      </c>
      <c r="U306" s="167" t="s">
        <v>430</v>
      </c>
      <c r="V306" s="167" t="s">
        <v>432</v>
      </c>
      <c r="W306" s="167" t="s">
        <v>427</v>
      </c>
      <c r="X306" s="167" t="s">
        <v>426</v>
      </c>
      <c r="Y306" s="167" t="s">
        <v>434</v>
      </c>
      <c r="Z306" s="167" t="s">
        <v>431</v>
      </c>
      <c r="AA306" s="167" t="s">
        <v>437</v>
      </c>
      <c r="AB306" s="169" t="s">
        <v>436</v>
      </c>
    </row>
    <row r="307" spans="19:28" ht="23.25" customHeight="1" x14ac:dyDescent="0.25">
      <c r="S307" s="168">
        <v>2931</v>
      </c>
      <c r="T307" s="168" t="s">
        <v>751</v>
      </c>
      <c r="U307" s="167" t="s">
        <v>430</v>
      </c>
      <c r="V307" s="167" t="s">
        <v>435</v>
      </c>
      <c r="W307" s="167" t="s">
        <v>427</v>
      </c>
      <c r="X307" s="167" t="s">
        <v>431</v>
      </c>
      <c r="Y307" s="167" t="s">
        <v>426</v>
      </c>
      <c r="Z307" s="167" t="s">
        <v>432</v>
      </c>
      <c r="AA307" s="167" t="s">
        <v>437</v>
      </c>
      <c r="AB307" s="169" t="s">
        <v>434</v>
      </c>
    </row>
    <row r="308" spans="19:28" ht="23.25" customHeight="1" x14ac:dyDescent="0.25">
      <c r="S308" s="168">
        <v>1907</v>
      </c>
      <c r="T308" s="168" t="s">
        <v>752</v>
      </c>
      <c r="U308" s="167" t="s">
        <v>430</v>
      </c>
      <c r="V308" s="167" t="s">
        <v>435</v>
      </c>
      <c r="W308" s="167" t="s">
        <v>427</v>
      </c>
      <c r="X308" s="167" t="s">
        <v>431</v>
      </c>
      <c r="Y308" s="167" t="s">
        <v>426</v>
      </c>
      <c r="Z308" s="167" t="s">
        <v>432</v>
      </c>
      <c r="AA308" s="167" t="s">
        <v>434</v>
      </c>
      <c r="AB308" s="169" t="s">
        <v>436</v>
      </c>
    </row>
    <row r="309" spans="19:28" ht="23.25" customHeight="1" x14ac:dyDescent="0.25">
      <c r="S309" s="168">
        <v>3315</v>
      </c>
      <c r="T309" s="168" t="s">
        <v>753</v>
      </c>
      <c r="U309" s="167" t="s">
        <v>430</v>
      </c>
      <c r="V309" s="167" t="s">
        <v>432</v>
      </c>
      <c r="W309" s="167" t="s">
        <v>427</v>
      </c>
      <c r="X309" s="167" t="s">
        <v>431</v>
      </c>
      <c r="Y309" s="167" t="s">
        <v>426</v>
      </c>
      <c r="Z309" s="167" t="s">
        <v>433</v>
      </c>
      <c r="AA309" s="167" t="s">
        <v>437</v>
      </c>
      <c r="AB309" s="169" t="s">
        <v>436</v>
      </c>
    </row>
    <row r="310" spans="19:28" ht="23.25" customHeight="1" x14ac:dyDescent="0.25">
      <c r="S310" s="168">
        <v>2803</v>
      </c>
      <c r="T310" s="168" t="s">
        <v>754</v>
      </c>
      <c r="U310" s="167" t="s">
        <v>433</v>
      </c>
      <c r="V310" s="167" t="s">
        <v>435</v>
      </c>
      <c r="W310" s="167" t="s">
        <v>427</v>
      </c>
      <c r="X310" s="167" t="s">
        <v>431</v>
      </c>
      <c r="Y310" s="167" t="s">
        <v>426</v>
      </c>
      <c r="Z310" s="167" t="s">
        <v>432</v>
      </c>
      <c r="AA310" s="167" t="s">
        <v>437</v>
      </c>
      <c r="AB310" s="169" t="s">
        <v>430</v>
      </c>
    </row>
    <row r="311" spans="19:28" ht="23.25" customHeight="1" x14ac:dyDescent="0.25">
      <c r="S311" s="168">
        <v>1779</v>
      </c>
      <c r="T311" s="168" t="s">
        <v>755</v>
      </c>
      <c r="U311" s="167" t="s">
        <v>433</v>
      </c>
      <c r="V311" s="167" t="s">
        <v>435</v>
      </c>
      <c r="W311" s="167" t="s">
        <v>427</v>
      </c>
      <c r="X311" s="167" t="s">
        <v>431</v>
      </c>
      <c r="Y311" s="167" t="s">
        <v>426</v>
      </c>
      <c r="Z311" s="167" t="s">
        <v>432</v>
      </c>
      <c r="AA311" s="167" t="s">
        <v>430</v>
      </c>
      <c r="AB311" s="169" t="s">
        <v>436</v>
      </c>
    </row>
    <row r="312" spans="19:28" ht="23.25" customHeight="1" x14ac:dyDescent="0.25">
      <c r="S312" s="168">
        <v>2547</v>
      </c>
      <c r="T312" s="168" t="s">
        <v>756</v>
      </c>
      <c r="U312" s="167" t="s">
        <v>430</v>
      </c>
      <c r="V312" s="167" t="s">
        <v>432</v>
      </c>
      <c r="W312" s="167" t="s">
        <v>427</v>
      </c>
      <c r="X312" s="167" t="s">
        <v>431</v>
      </c>
      <c r="Y312" s="167" t="s">
        <v>426</v>
      </c>
      <c r="Z312" s="167" t="s">
        <v>433</v>
      </c>
      <c r="AA312" s="167" t="s">
        <v>437</v>
      </c>
      <c r="AB312" s="169" t="s">
        <v>434</v>
      </c>
    </row>
    <row r="313" spans="19:28" ht="23.25" customHeight="1" x14ac:dyDescent="0.25">
      <c r="S313" s="168">
        <v>1523</v>
      </c>
      <c r="T313" s="168" t="s">
        <v>757</v>
      </c>
      <c r="U313" s="167" t="s">
        <v>430</v>
      </c>
      <c r="V313" s="167" t="s">
        <v>432</v>
      </c>
      <c r="W313" s="167" t="s">
        <v>427</v>
      </c>
      <c r="X313" s="167" t="s">
        <v>431</v>
      </c>
      <c r="Y313" s="167" t="s">
        <v>426</v>
      </c>
      <c r="Z313" s="167" t="s">
        <v>433</v>
      </c>
      <c r="AA313" s="167" t="s">
        <v>434</v>
      </c>
      <c r="AB313" s="169" t="s">
        <v>436</v>
      </c>
    </row>
    <row r="314" spans="19:28" ht="23.25" customHeight="1" x14ac:dyDescent="0.25">
      <c r="S314" s="168">
        <v>1011</v>
      </c>
      <c r="T314" s="168" t="s">
        <v>758</v>
      </c>
      <c r="U314" s="167" t="s">
        <v>433</v>
      </c>
      <c r="V314" s="167" t="s">
        <v>435</v>
      </c>
      <c r="W314" s="167" t="s">
        <v>427</v>
      </c>
      <c r="X314" s="167" t="s">
        <v>431</v>
      </c>
      <c r="Y314" s="167" t="s">
        <v>426</v>
      </c>
      <c r="Z314" s="167" t="s">
        <v>432</v>
      </c>
      <c r="AA314" s="167" t="s">
        <v>430</v>
      </c>
      <c r="AB314" s="169" t="s">
        <v>434</v>
      </c>
    </row>
    <row r="315" spans="19:28" ht="23.25" customHeight="1" x14ac:dyDescent="0.25">
      <c r="S315" s="168">
        <v>3979</v>
      </c>
      <c r="T315" s="168" t="s">
        <v>759</v>
      </c>
      <c r="U315" s="167" t="s">
        <v>434</v>
      </c>
      <c r="V315" s="167" t="s">
        <v>435</v>
      </c>
      <c r="W315" s="167" t="s">
        <v>427</v>
      </c>
      <c r="X315" s="167" t="s">
        <v>429</v>
      </c>
      <c r="Y315" s="167" t="s">
        <v>426</v>
      </c>
      <c r="Z315" s="167" t="s">
        <v>433</v>
      </c>
      <c r="AA315" s="167" t="s">
        <v>437</v>
      </c>
      <c r="AB315" s="169" t="s">
        <v>436</v>
      </c>
    </row>
    <row r="316" spans="19:28" ht="23.25" customHeight="1" x14ac:dyDescent="0.25">
      <c r="S316" s="168">
        <v>3915</v>
      </c>
      <c r="T316" s="168" t="s">
        <v>760</v>
      </c>
      <c r="U316" s="167" t="s">
        <v>434</v>
      </c>
      <c r="V316" s="167" t="s">
        <v>435</v>
      </c>
      <c r="W316" s="167" t="s">
        <v>427</v>
      </c>
      <c r="X316" s="167" t="s">
        <v>429</v>
      </c>
      <c r="Y316" s="167" t="s">
        <v>426</v>
      </c>
      <c r="Z316" s="167" t="s">
        <v>432</v>
      </c>
      <c r="AA316" s="167" t="s">
        <v>437</v>
      </c>
      <c r="AB316" s="169" t="s">
        <v>436</v>
      </c>
    </row>
    <row r="317" spans="19:28" ht="23.25" customHeight="1" x14ac:dyDescent="0.25">
      <c r="S317" s="168">
        <v>3787</v>
      </c>
      <c r="T317" s="168" t="s">
        <v>761</v>
      </c>
      <c r="U317" s="167" t="s">
        <v>433</v>
      </c>
      <c r="V317" s="167" t="s">
        <v>435</v>
      </c>
      <c r="W317" s="167" t="s">
        <v>427</v>
      </c>
      <c r="X317" s="167" t="s">
        <v>429</v>
      </c>
      <c r="Y317" s="167" t="s">
        <v>426</v>
      </c>
      <c r="Z317" s="167" t="s">
        <v>432</v>
      </c>
      <c r="AA317" s="167" t="s">
        <v>437</v>
      </c>
      <c r="AB317" s="169" t="s">
        <v>436</v>
      </c>
    </row>
    <row r="318" spans="19:28" ht="23.25" customHeight="1" x14ac:dyDescent="0.25">
      <c r="S318" s="168">
        <v>3531</v>
      </c>
      <c r="T318" s="168" t="s">
        <v>762</v>
      </c>
      <c r="U318" s="167" t="s">
        <v>434</v>
      </c>
      <c r="V318" s="167" t="s">
        <v>432</v>
      </c>
      <c r="W318" s="167" t="s">
        <v>427</v>
      </c>
      <c r="X318" s="167" t="s">
        <v>429</v>
      </c>
      <c r="Y318" s="167" t="s">
        <v>426</v>
      </c>
      <c r="Z318" s="167" t="s">
        <v>433</v>
      </c>
      <c r="AA318" s="167" t="s">
        <v>437</v>
      </c>
      <c r="AB318" s="169" t="s">
        <v>436</v>
      </c>
    </row>
    <row r="319" spans="19:28" ht="23.25" customHeight="1" x14ac:dyDescent="0.25">
      <c r="S319" s="168">
        <v>3019</v>
      </c>
      <c r="T319" s="168" t="s">
        <v>763</v>
      </c>
      <c r="U319" s="167" t="s">
        <v>433</v>
      </c>
      <c r="V319" s="167" t="s">
        <v>435</v>
      </c>
      <c r="W319" s="167" t="s">
        <v>427</v>
      </c>
      <c r="X319" s="167" t="s">
        <v>429</v>
      </c>
      <c r="Y319" s="167" t="s">
        <v>426</v>
      </c>
      <c r="Z319" s="167" t="s">
        <v>432</v>
      </c>
      <c r="AA319" s="167" t="s">
        <v>437</v>
      </c>
      <c r="AB319" s="169" t="s">
        <v>434</v>
      </c>
    </row>
    <row r="320" spans="19:28" ht="23.25" customHeight="1" x14ac:dyDescent="0.25">
      <c r="S320" s="168">
        <v>1995</v>
      </c>
      <c r="T320" s="168" t="s">
        <v>764</v>
      </c>
      <c r="U320" s="167" t="s">
        <v>433</v>
      </c>
      <c r="V320" s="167" t="s">
        <v>435</v>
      </c>
      <c r="W320" s="167" t="s">
        <v>427</v>
      </c>
      <c r="X320" s="167" t="s">
        <v>429</v>
      </c>
      <c r="Y320" s="167" t="s">
        <v>426</v>
      </c>
      <c r="Z320" s="167" t="s">
        <v>432</v>
      </c>
      <c r="AA320" s="167" t="s">
        <v>434</v>
      </c>
      <c r="AB320" s="169" t="s">
        <v>436</v>
      </c>
    </row>
    <row r="321" spans="19:28" ht="23.25" customHeight="1" x14ac:dyDescent="0.25">
      <c r="S321" s="168">
        <v>3883</v>
      </c>
      <c r="T321" s="168" t="s">
        <v>765</v>
      </c>
      <c r="U321" s="167" t="s">
        <v>434</v>
      </c>
      <c r="V321" s="167" t="s">
        <v>435</v>
      </c>
      <c r="W321" s="167" t="s">
        <v>427</v>
      </c>
      <c r="X321" s="167" t="s">
        <v>429</v>
      </c>
      <c r="Y321" s="167" t="s">
        <v>426</v>
      </c>
      <c r="Z321" s="167" t="s">
        <v>431</v>
      </c>
      <c r="AA321" s="167" t="s">
        <v>437</v>
      </c>
      <c r="AB321" s="169" t="s">
        <v>436</v>
      </c>
    </row>
    <row r="322" spans="19:28" ht="23.25" customHeight="1" x14ac:dyDescent="0.25">
      <c r="S322" s="168">
        <v>3755</v>
      </c>
      <c r="T322" s="168" t="s">
        <v>766</v>
      </c>
      <c r="U322" s="167" t="s">
        <v>433</v>
      </c>
      <c r="V322" s="167" t="s">
        <v>435</v>
      </c>
      <c r="W322" s="167" t="s">
        <v>427</v>
      </c>
      <c r="X322" s="167" t="s">
        <v>429</v>
      </c>
      <c r="Y322" s="167" t="s">
        <v>426</v>
      </c>
      <c r="Z322" s="167" t="s">
        <v>431</v>
      </c>
      <c r="AA322" s="167" t="s">
        <v>437</v>
      </c>
      <c r="AB322" s="169" t="s">
        <v>436</v>
      </c>
    </row>
    <row r="323" spans="19:28" ht="23.25" customHeight="1" x14ac:dyDescent="0.25">
      <c r="S323" s="168">
        <v>3499</v>
      </c>
      <c r="T323" s="168" t="s">
        <v>767</v>
      </c>
      <c r="U323" s="167" t="s">
        <v>433</v>
      </c>
      <c r="V323" s="167" t="s">
        <v>434</v>
      </c>
      <c r="W323" s="167" t="s">
        <v>427</v>
      </c>
      <c r="X323" s="167" t="s">
        <v>429</v>
      </c>
      <c r="Y323" s="167" t="s">
        <v>426</v>
      </c>
      <c r="Z323" s="167" t="s">
        <v>431</v>
      </c>
      <c r="AA323" s="167" t="s">
        <v>437</v>
      </c>
      <c r="AB323" s="169" t="s">
        <v>436</v>
      </c>
    </row>
    <row r="324" spans="19:28" ht="23.25" customHeight="1" x14ac:dyDescent="0.25">
      <c r="S324" s="168">
        <v>2987</v>
      </c>
      <c r="T324" s="168" t="s">
        <v>768</v>
      </c>
      <c r="U324" s="167" t="s">
        <v>433</v>
      </c>
      <c r="V324" s="167" t="s">
        <v>435</v>
      </c>
      <c r="W324" s="167" t="s">
        <v>427</v>
      </c>
      <c r="X324" s="167" t="s">
        <v>429</v>
      </c>
      <c r="Y324" s="167" t="s">
        <v>426</v>
      </c>
      <c r="Z324" s="167" t="s">
        <v>431</v>
      </c>
      <c r="AA324" s="167" t="s">
        <v>437</v>
      </c>
      <c r="AB324" s="169" t="s">
        <v>434</v>
      </c>
    </row>
    <row r="325" spans="19:28" ht="23.25" customHeight="1" x14ac:dyDescent="0.25">
      <c r="S325" s="168">
        <v>1963</v>
      </c>
      <c r="T325" s="168" t="s">
        <v>769</v>
      </c>
      <c r="U325" s="167" t="s">
        <v>433</v>
      </c>
      <c r="V325" s="167" t="s">
        <v>435</v>
      </c>
      <c r="W325" s="167" t="s">
        <v>427</v>
      </c>
      <c r="X325" s="167" t="s">
        <v>429</v>
      </c>
      <c r="Y325" s="167" t="s">
        <v>426</v>
      </c>
      <c r="Z325" s="167" t="s">
        <v>431</v>
      </c>
      <c r="AA325" s="167" t="s">
        <v>434</v>
      </c>
      <c r="AB325" s="169" t="s">
        <v>436</v>
      </c>
    </row>
    <row r="326" spans="19:28" ht="23.25" customHeight="1" x14ac:dyDescent="0.25">
      <c r="S326" s="168">
        <v>3691</v>
      </c>
      <c r="T326" s="168" t="s">
        <v>770</v>
      </c>
      <c r="U326" s="167" t="s">
        <v>431</v>
      </c>
      <c r="V326" s="167" t="s">
        <v>435</v>
      </c>
      <c r="W326" s="167" t="s">
        <v>427</v>
      </c>
      <c r="X326" s="167" t="s">
        <v>429</v>
      </c>
      <c r="Y326" s="167" t="s">
        <v>426</v>
      </c>
      <c r="Z326" s="167" t="s">
        <v>432</v>
      </c>
      <c r="AA326" s="167" t="s">
        <v>437</v>
      </c>
      <c r="AB326" s="169" t="s">
        <v>436</v>
      </c>
    </row>
    <row r="327" spans="19:28" ht="23.25" customHeight="1" x14ac:dyDescent="0.25">
      <c r="S327" s="168">
        <v>3435</v>
      </c>
      <c r="T327" s="168" t="s">
        <v>771</v>
      </c>
      <c r="U327" s="167" t="s">
        <v>434</v>
      </c>
      <c r="V327" s="167" t="s">
        <v>432</v>
      </c>
      <c r="W327" s="167" t="s">
        <v>427</v>
      </c>
      <c r="X327" s="167" t="s">
        <v>429</v>
      </c>
      <c r="Y327" s="167" t="s">
        <v>426</v>
      </c>
      <c r="Z327" s="167" t="s">
        <v>431</v>
      </c>
      <c r="AA327" s="167" t="s">
        <v>437</v>
      </c>
      <c r="AB327" s="169" t="s">
        <v>436</v>
      </c>
    </row>
    <row r="328" spans="19:28" ht="23.25" customHeight="1" x14ac:dyDescent="0.25">
      <c r="S328" s="168">
        <v>2923</v>
      </c>
      <c r="T328" s="168" t="s">
        <v>772</v>
      </c>
      <c r="U328" s="167" t="s">
        <v>431</v>
      </c>
      <c r="V328" s="167" t="s">
        <v>435</v>
      </c>
      <c r="W328" s="167" t="s">
        <v>427</v>
      </c>
      <c r="X328" s="167" t="s">
        <v>429</v>
      </c>
      <c r="Y328" s="167" t="s">
        <v>426</v>
      </c>
      <c r="Z328" s="167" t="s">
        <v>432</v>
      </c>
      <c r="AA328" s="167" t="s">
        <v>437</v>
      </c>
      <c r="AB328" s="169" t="s">
        <v>434</v>
      </c>
    </row>
    <row r="329" spans="19:28" ht="23.25" customHeight="1" x14ac:dyDescent="0.25">
      <c r="S329" s="168">
        <v>1899</v>
      </c>
      <c r="T329" s="168" t="s">
        <v>773</v>
      </c>
      <c r="U329" s="167" t="s">
        <v>431</v>
      </c>
      <c r="V329" s="167" t="s">
        <v>435</v>
      </c>
      <c r="W329" s="167" t="s">
        <v>427</v>
      </c>
      <c r="X329" s="167" t="s">
        <v>429</v>
      </c>
      <c r="Y329" s="167" t="s">
        <v>426</v>
      </c>
      <c r="Z329" s="167" t="s">
        <v>432</v>
      </c>
      <c r="AA329" s="167" t="s">
        <v>434</v>
      </c>
      <c r="AB329" s="169" t="s">
        <v>436</v>
      </c>
    </row>
    <row r="330" spans="19:28" ht="23.25" customHeight="1" x14ac:dyDescent="0.25">
      <c r="S330" s="168">
        <v>3307</v>
      </c>
      <c r="T330" s="168" t="s">
        <v>774</v>
      </c>
      <c r="U330" s="167" t="s">
        <v>433</v>
      </c>
      <c r="V330" s="167" t="s">
        <v>432</v>
      </c>
      <c r="W330" s="167" t="s">
        <v>427</v>
      </c>
      <c r="X330" s="167" t="s">
        <v>429</v>
      </c>
      <c r="Y330" s="167" t="s">
        <v>426</v>
      </c>
      <c r="Z330" s="167" t="s">
        <v>431</v>
      </c>
      <c r="AA330" s="167" t="s">
        <v>437</v>
      </c>
      <c r="AB330" s="169" t="s">
        <v>436</v>
      </c>
    </row>
    <row r="331" spans="19:28" ht="23.25" customHeight="1" x14ac:dyDescent="0.25">
      <c r="S331" s="168">
        <v>2795</v>
      </c>
      <c r="T331" s="168" t="s">
        <v>775</v>
      </c>
      <c r="U331" s="167" t="s">
        <v>433</v>
      </c>
      <c r="V331" s="167" t="s">
        <v>432</v>
      </c>
      <c r="W331" s="167" t="s">
        <v>427</v>
      </c>
      <c r="X331" s="167" t="s">
        <v>429</v>
      </c>
      <c r="Y331" s="167" t="s">
        <v>426</v>
      </c>
      <c r="Z331" s="167" t="s">
        <v>431</v>
      </c>
      <c r="AA331" s="167" t="s">
        <v>437</v>
      </c>
      <c r="AB331" s="169" t="s">
        <v>435</v>
      </c>
    </row>
    <row r="332" spans="19:28" ht="23.25" customHeight="1" x14ac:dyDescent="0.25">
      <c r="S332" s="168">
        <v>1771</v>
      </c>
      <c r="T332" s="168" t="s">
        <v>776</v>
      </c>
      <c r="U332" s="167" t="s">
        <v>433</v>
      </c>
      <c r="V332" s="167" t="s">
        <v>432</v>
      </c>
      <c r="W332" s="167" t="s">
        <v>427</v>
      </c>
      <c r="X332" s="167" t="s">
        <v>429</v>
      </c>
      <c r="Y332" s="167" t="s">
        <v>426</v>
      </c>
      <c r="Z332" s="167" t="s">
        <v>431</v>
      </c>
      <c r="AA332" s="167" t="s">
        <v>435</v>
      </c>
      <c r="AB332" s="169" t="s">
        <v>436</v>
      </c>
    </row>
    <row r="333" spans="19:28" ht="23.25" customHeight="1" x14ac:dyDescent="0.25">
      <c r="S333" s="168">
        <v>2539</v>
      </c>
      <c r="T333" s="168" t="s">
        <v>777</v>
      </c>
      <c r="U333" s="167" t="s">
        <v>433</v>
      </c>
      <c r="V333" s="167" t="s">
        <v>432</v>
      </c>
      <c r="W333" s="167" t="s">
        <v>427</v>
      </c>
      <c r="X333" s="167" t="s">
        <v>429</v>
      </c>
      <c r="Y333" s="167" t="s">
        <v>426</v>
      </c>
      <c r="Z333" s="167" t="s">
        <v>431</v>
      </c>
      <c r="AA333" s="167" t="s">
        <v>437</v>
      </c>
      <c r="AB333" s="169" t="s">
        <v>434</v>
      </c>
    </row>
    <row r="334" spans="19:28" ht="23.25" customHeight="1" x14ac:dyDescent="0.25">
      <c r="S334" s="168">
        <v>1515</v>
      </c>
      <c r="T334" s="168" t="s">
        <v>778</v>
      </c>
      <c r="U334" s="167" t="s">
        <v>433</v>
      </c>
      <c r="V334" s="167" t="s">
        <v>432</v>
      </c>
      <c r="W334" s="167" t="s">
        <v>427</v>
      </c>
      <c r="X334" s="167" t="s">
        <v>429</v>
      </c>
      <c r="Y334" s="167" t="s">
        <v>426</v>
      </c>
      <c r="Z334" s="167" t="s">
        <v>431</v>
      </c>
      <c r="AA334" s="167" t="s">
        <v>434</v>
      </c>
      <c r="AB334" s="169" t="s">
        <v>436</v>
      </c>
    </row>
    <row r="335" spans="19:28" ht="23.25" customHeight="1" x14ac:dyDescent="0.25">
      <c r="S335" s="168">
        <v>1003</v>
      </c>
      <c r="T335" s="168" t="s">
        <v>779</v>
      </c>
      <c r="U335" s="167" t="s">
        <v>433</v>
      </c>
      <c r="V335" s="167" t="s">
        <v>432</v>
      </c>
      <c r="W335" s="167" t="s">
        <v>427</v>
      </c>
      <c r="X335" s="167" t="s">
        <v>429</v>
      </c>
      <c r="Y335" s="167" t="s">
        <v>426</v>
      </c>
      <c r="Z335" s="167" t="s">
        <v>431</v>
      </c>
      <c r="AA335" s="167" t="s">
        <v>434</v>
      </c>
      <c r="AB335" s="169" t="s">
        <v>435</v>
      </c>
    </row>
    <row r="336" spans="19:28" ht="23.25" customHeight="1" x14ac:dyDescent="0.25">
      <c r="S336" s="168">
        <v>3867</v>
      </c>
      <c r="T336" s="168" t="s">
        <v>780</v>
      </c>
      <c r="U336" s="167" t="s">
        <v>430</v>
      </c>
      <c r="V336" s="167" t="s">
        <v>435</v>
      </c>
      <c r="W336" s="167" t="s">
        <v>427</v>
      </c>
      <c r="X336" s="167" t="s">
        <v>426</v>
      </c>
      <c r="Y336" s="167" t="s">
        <v>434</v>
      </c>
      <c r="Z336" s="167" t="s">
        <v>429</v>
      </c>
      <c r="AA336" s="167" t="s">
        <v>437</v>
      </c>
      <c r="AB336" s="169" t="s">
        <v>436</v>
      </c>
    </row>
    <row r="337" spans="19:28" ht="23.25" customHeight="1" x14ac:dyDescent="0.25">
      <c r="S337" s="168">
        <v>3739</v>
      </c>
      <c r="T337" s="168" t="s">
        <v>781</v>
      </c>
      <c r="U337" s="167" t="s">
        <v>430</v>
      </c>
      <c r="V337" s="167" t="s">
        <v>435</v>
      </c>
      <c r="W337" s="167" t="s">
        <v>427</v>
      </c>
      <c r="X337" s="167" t="s">
        <v>429</v>
      </c>
      <c r="Y337" s="167" t="s">
        <v>426</v>
      </c>
      <c r="Z337" s="167" t="s">
        <v>433</v>
      </c>
      <c r="AA337" s="167" t="s">
        <v>437</v>
      </c>
      <c r="AB337" s="169" t="s">
        <v>436</v>
      </c>
    </row>
    <row r="338" spans="19:28" ht="23.25" customHeight="1" x14ac:dyDescent="0.25">
      <c r="S338" s="168">
        <v>3483</v>
      </c>
      <c r="T338" s="168" t="s">
        <v>782</v>
      </c>
      <c r="U338" s="167" t="s">
        <v>430</v>
      </c>
      <c r="V338" s="167" t="s">
        <v>434</v>
      </c>
      <c r="W338" s="167" t="s">
        <v>427</v>
      </c>
      <c r="X338" s="167" t="s">
        <v>429</v>
      </c>
      <c r="Y338" s="167" t="s">
        <v>426</v>
      </c>
      <c r="Z338" s="167" t="s">
        <v>433</v>
      </c>
      <c r="AA338" s="167" t="s">
        <v>437</v>
      </c>
      <c r="AB338" s="169" t="s">
        <v>436</v>
      </c>
    </row>
    <row r="339" spans="19:28" ht="23.25" customHeight="1" x14ac:dyDescent="0.25">
      <c r="S339" s="168">
        <v>2971</v>
      </c>
      <c r="T339" s="168" t="s">
        <v>783</v>
      </c>
      <c r="U339" s="167" t="s">
        <v>430</v>
      </c>
      <c r="V339" s="167" t="s">
        <v>435</v>
      </c>
      <c r="W339" s="167" t="s">
        <v>427</v>
      </c>
      <c r="X339" s="167" t="s">
        <v>429</v>
      </c>
      <c r="Y339" s="167" t="s">
        <v>426</v>
      </c>
      <c r="Z339" s="167" t="s">
        <v>433</v>
      </c>
      <c r="AA339" s="167" t="s">
        <v>437</v>
      </c>
      <c r="AB339" s="169" t="s">
        <v>434</v>
      </c>
    </row>
    <row r="340" spans="19:28" ht="23.25" customHeight="1" x14ac:dyDescent="0.25">
      <c r="S340" s="168">
        <v>1947</v>
      </c>
      <c r="T340" s="168" t="s">
        <v>784</v>
      </c>
      <c r="U340" s="167" t="s">
        <v>430</v>
      </c>
      <c r="V340" s="167" t="s">
        <v>435</v>
      </c>
      <c r="W340" s="167" t="s">
        <v>427</v>
      </c>
      <c r="X340" s="167" t="s">
        <v>429</v>
      </c>
      <c r="Y340" s="167" t="s">
        <v>426</v>
      </c>
      <c r="Z340" s="167" t="s">
        <v>433</v>
      </c>
      <c r="AA340" s="167" t="s">
        <v>434</v>
      </c>
      <c r="AB340" s="169" t="s">
        <v>436</v>
      </c>
    </row>
    <row r="341" spans="19:28" ht="23.25" customHeight="1" x14ac:dyDescent="0.25">
      <c r="S341" s="168">
        <v>3675</v>
      </c>
      <c r="T341" s="168" t="s">
        <v>785</v>
      </c>
      <c r="U341" s="167" t="s">
        <v>430</v>
      </c>
      <c r="V341" s="167" t="s">
        <v>435</v>
      </c>
      <c r="W341" s="167" t="s">
        <v>427</v>
      </c>
      <c r="X341" s="167" t="s">
        <v>429</v>
      </c>
      <c r="Y341" s="167" t="s">
        <v>426</v>
      </c>
      <c r="Z341" s="167" t="s">
        <v>432</v>
      </c>
      <c r="AA341" s="167" t="s">
        <v>437</v>
      </c>
      <c r="AB341" s="169" t="s">
        <v>436</v>
      </c>
    </row>
    <row r="342" spans="19:28" ht="23.25" customHeight="1" x14ac:dyDescent="0.25">
      <c r="S342" s="168">
        <v>3419</v>
      </c>
      <c r="T342" s="168" t="s">
        <v>786</v>
      </c>
      <c r="U342" s="167" t="s">
        <v>430</v>
      </c>
      <c r="V342" s="167" t="s">
        <v>432</v>
      </c>
      <c r="W342" s="167" t="s">
        <v>427</v>
      </c>
      <c r="X342" s="167" t="s">
        <v>426</v>
      </c>
      <c r="Y342" s="167" t="s">
        <v>434</v>
      </c>
      <c r="Z342" s="167" t="s">
        <v>429</v>
      </c>
      <c r="AA342" s="167" t="s">
        <v>437</v>
      </c>
      <c r="AB342" s="169" t="s">
        <v>436</v>
      </c>
    </row>
    <row r="343" spans="19:28" ht="23.25" customHeight="1" x14ac:dyDescent="0.25">
      <c r="S343" s="168">
        <v>2907</v>
      </c>
      <c r="T343" s="168" t="s">
        <v>787</v>
      </c>
      <c r="U343" s="167" t="s">
        <v>430</v>
      </c>
      <c r="V343" s="167" t="s">
        <v>435</v>
      </c>
      <c r="W343" s="167" t="s">
        <v>427</v>
      </c>
      <c r="X343" s="167" t="s">
        <v>429</v>
      </c>
      <c r="Y343" s="167" t="s">
        <v>426</v>
      </c>
      <c r="Z343" s="167" t="s">
        <v>432</v>
      </c>
      <c r="AA343" s="167" t="s">
        <v>437</v>
      </c>
      <c r="AB343" s="169" t="s">
        <v>434</v>
      </c>
    </row>
    <row r="344" spans="19:28" ht="23.25" customHeight="1" x14ac:dyDescent="0.25">
      <c r="S344" s="168">
        <v>1883</v>
      </c>
      <c r="T344" s="168" t="s">
        <v>788</v>
      </c>
      <c r="U344" s="167" t="s">
        <v>430</v>
      </c>
      <c r="V344" s="167" t="s">
        <v>435</v>
      </c>
      <c r="W344" s="167" t="s">
        <v>427</v>
      </c>
      <c r="X344" s="167" t="s">
        <v>429</v>
      </c>
      <c r="Y344" s="167" t="s">
        <v>426</v>
      </c>
      <c r="Z344" s="167" t="s">
        <v>432</v>
      </c>
      <c r="AA344" s="167" t="s">
        <v>434</v>
      </c>
      <c r="AB344" s="169" t="s">
        <v>436</v>
      </c>
    </row>
    <row r="345" spans="19:28" ht="23.25" customHeight="1" x14ac:dyDescent="0.25">
      <c r="S345" s="168">
        <v>3291</v>
      </c>
      <c r="T345" s="168" t="s">
        <v>789</v>
      </c>
      <c r="U345" s="167" t="s">
        <v>430</v>
      </c>
      <c r="V345" s="167" t="s">
        <v>432</v>
      </c>
      <c r="W345" s="167" t="s">
        <v>427</v>
      </c>
      <c r="X345" s="167" t="s">
        <v>429</v>
      </c>
      <c r="Y345" s="167" t="s">
        <v>426</v>
      </c>
      <c r="Z345" s="167" t="s">
        <v>433</v>
      </c>
      <c r="AA345" s="167" t="s">
        <v>437</v>
      </c>
      <c r="AB345" s="169" t="s">
        <v>436</v>
      </c>
    </row>
    <row r="346" spans="19:28" ht="23.25" customHeight="1" x14ac:dyDescent="0.25">
      <c r="S346" s="168">
        <v>2779</v>
      </c>
      <c r="T346" s="168" t="s">
        <v>790</v>
      </c>
      <c r="U346" s="167" t="s">
        <v>433</v>
      </c>
      <c r="V346" s="167" t="s">
        <v>435</v>
      </c>
      <c r="W346" s="167" t="s">
        <v>427</v>
      </c>
      <c r="X346" s="167" t="s">
        <v>429</v>
      </c>
      <c r="Y346" s="167" t="s">
        <v>426</v>
      </c>
      <c r="Z346" s="167" t="s">
        <v>432</v>
      </c>
      <c r="AA346" s="167" t="s">
        <v>437</v>
      </c>
      <c r="AB346" s="169" t="s">
        <v>430</v>
      </c>
    </row>
    <row r="347" spans="19:28" ht="23.25" customHeight="1" x14ac:dyDescent="0.25">
      <c r="S347" s="168">
        <v>1755</v>
      </c>
      <c r="T347" s="168" t="s">
        <v>791</v>
      </c>
      <c r="U347" s="167" t="s">
        <v>433</v>
      </c>
      <c r="V347" s="167" t="s">
        <v>435</v>
      </c>
      <c r="W347" s="167" t="s">
        <v>427</v>
      </c>
      <c r="X347" s="167" t="s">
        <v>429</v>
      </c>
      <c r="Y347" s="167" t="s">
        <v>426</v>
      </c>
      <c r="Z347" s="167" t="s">
        <v>432</v>
      </c>
      <c r="AA347" s="167" t="s">
        <v>430</v>
      </c>
      <c r="AB347" s="169" t="s">
        <v>436</v>
      </c>
    </row>
    <row r="348" spans="19:28" ht="23.25" customHeight="1" x14ac:dyDescent="0.25">
      <c r="S348" s="168">
        <v>2523</v>
      </c>
      <c r="T348" s="168" t="s">
        <v>792</v>
      </c>
      <c r="U348" s="167" t="s">
        <v>430</v>
      </c>
      <c r="V348" s="167" t="s">
        <v>432</v>
      </c>
      <c r="W348" s="167" t="s">
        <v>427</v>
      </c>
      <c r="X348" s="167" t="s">
        <v>429</v>
      </c>
      <c r="Y348" s="167" t="s">
        <v>426</v>
      </c>
      <c r="Z348" s="167" t="s">
        <v>433</v>
      </c>
      <c r="AA348" s="167" t="s">
        <v>437</v>
      </c>
      <c r="AB348" s="169" t="s">
        <v>434</v>
      </c>
    </row>
    <row r="349" spans="19:28" ht="23.25" customHeight="1" x14ac:dyDescent="0.25">
      <c r="S349" s="168">
        <v>1499</v>
      </c>
      <c r="T349" s="168" t="s">
        <v>793</v>
      </c>
      <c r="U349" s="167" t="s">
        <v>430</v>
      </c>
      <c r="V349" s="167" t="s">
        <v>432</v>
      </c>
      <c r="W349" s="167" t="s">
        <v>427</v>
      </c>
      <c r="X349" s="167" t="s">
        <v>429</v>
      </c>
      <c r="Y349" s="167" t="s">
        <v>426</v>
      </c>
      <c r="Z349" s="167" t="s">
        <v>433</v>
      </c>
      <c r="AA349" s="167" t="s">
        <v>434</v>
      </c>
      <c r="AB349" s="169" t="s">
        <v>436</v>
      </c>
    </row>
    <row r="350" spans="19:28" ht="23.25" customHeight="1" x14ac:dyDescent="0.25">
      <c r="S350" s="168">
        <v>987</v>
      </c>
      <c r="T350" s="168" t="s">
        <v>794</v>
      </c>
      <c r="U350" s="167" t="s">
        <v>433</v>
      </c>
      <c r="V350" s="167" t="s">
        <v>435</v>
      </c>
      <c r="W350" s="167" t="s">
        <v>427</v>
      </c>
      <c r="X350" s="167" t="s">
        <v>429</v>
      </c>
      <c r="Y350" s="167" t="s">
        <v>426</v>
      </c>
      <c r="Z350" s="167" t="s">
        <v>432</v>
      </c>
      <c r="AA350" s="167" t="s">
        <v>430</v>
      </c>
      <c r="AB350" s="169" t="s">
        <v>434</v>
      </c>
    </row>
    <row r="351" spans="19:28" ht="23.25" customHeight="1" x14ac:dyDescent="0.25">
      <c r="S351" s="168">
        <v>3643</v>
      </c>
      <c r="T351" s="168" t="s">
        <v>795</v>
      </c>
      <c r="U351" s="167" t="s">
        <v>430</v>
      </c>
      <c r="V351" s="167" t="s">
        <v>435</v>
      </c>
      <c r="W351" s="167" t="s">
        <v>427</v>
      </c>
      <c r="X351" s="167" t="s">
        <v>429</v>
      </c>
      <c r="Y351" s="167" t="s">
        <v>426</v>
      </c>
      <c r="Z351" s="167" t="s">
        <v>431</v>
      </c>
      <c r="AA351" s="167" t="s">
        <v>437</v>
      </c>
      <c r="AB351" s="169" t="s">
        <v>436</v>
      </c>
    </row>
    <row r="352" spans="19:28" ht="23.25" customHeight="1" x14ac:dyDescent="0.25">
      <c r="S352" s="168">
        <v>3387</v>
      </c>
      <c r="T352" s="168" t="s">
        <v>796</v>
      </c>
      <c r="U352" s="167" t="s">
        <v>430</v>
      </c>
      <c r="V352" s="167" t="s">
        <v>434</v>
      </c>
      <c r="W352" s="167" t="s">
        <v>427</v>
      </c>
      <c r="X352" s="167" t="s">
        <v>429</v>
      </c>
      <c r="Y352" s="167" t="s">
        <v>426</v>
      </c>
      <c r="Z352" s="167" t="s">
        <v>431</v>
      </c>
      <c r="AA352" s="167" t="s">
        <v>437</v>
      </c>
      <c r="AB352" s="169" t="s">
        <v>436</v>
      </c>
    </row>
    <row r="353" spans="19:28" ht="23.25" customHeight="1" x14ac:dyDescent="0.25">
      <c r="S353" s="168">
        <v>2875</v>
      </c>
      <c r="T353" s="168" t="s">
        <v>797</v>
      </c>
      <c r="U353" s="167" t="s">
        <v>430</v>
      </c>
      <c r="V353" s="167" t="s">
        <v>435</v>
      </c>
      <c r="W353" s="167" t="s">
        <v>427</v>
      </c>
      <c r="X353" s="167" t="s">
        <v>429</v>
      </c>
      <c r="Y353" s="167" t="s">
        <v>426</v>
      </c>
      <c r="Z353" s="167" t="s">
        <v>431</v>
      </c>
      <c r="AA353" s="167" t="s">
        <v>437</v>
      </c>
      <c r="AB353" s="169" t="s">
        <v>434</v>
      </c>
    </row>
    <row r="354" spans="19:28" ht="23.25" customHeight="1" x14ac:dyDescent="0.25">
      <c r="S354" s="168">
        <v>1851</v>
      </c>
      <c r="T354" s="168" t="s">
        <v>798</v>
      </c>
      <c r="U354" s="167" t="s">
        <v>430</v>
      </c>
      <c r="V354" s="167" t="s">
        <v>435</v>
      </c>
      <c r="W354" s="167" t="s">
        <v>427</v>
      </c>
      <c r="X354" s="167" t="s">
        <v>429</v>
      </c>
      <c r="Y354" s="167" t="s">
        <v>426</v>
      </c>
      <c r="Z354" s="167" t="s">
        <v>431</v>
      </c>
      <c r="AA354" s="167" t="s">
        <v>434</v>
      </c>
      <c r="AB354" s="169" t="s">
        <v>436</v>
      </c>
    </row>
    <row r="355" spans="19:28" ht="23.25" customHeight="1" x14ac:dyDescent="0.25">
      <c r="S355" s="168">
        <v>3259</v>
      </c>
      <c r="T355" s="168" t="s">
        <v>799</v>
      </c>
      <c r="U355" s="167" t="s">
        <v>433</v>
      </c>
      <c r="V355" s="167" t="s">
        <v>430</v>
      </c>
      <c r="W355" s="167" t="s">
        <v>427</v>
      </c>
      <c r="X355" s="167" t="s">
        <v>429</v>
      </c>
      <c r="Y355" s="167" t="s">
        <v>426</v>
      </c>
      <c r="Z355" s="167" t="s">
        <v>431</v>
      </c>
      <c r="AA355" s="167" t="s">
        <v>437</v>
      </c>
      <c r="AB355" s="169" t="s">
        <v>436</v>
      </c>
    </row>
    <row r="356" spans="19:28" ht="23.25" customHeight="1" x14ac:dyDescent="0.25">
      <c r="S356" s="168">
        <v>2747</v>
      </c>
      <c r="T356" s="168" t="s">
        <v>800</v>
      </c>
      <c r="U356" s="167" t="s">
        <v>433</v>
      </c>
      <c r="V356" s="167" t="s">
        <v>435</v>
      </c>
      <c r="W356" s="167" t="s">
        <v>427</v>
      </c>
      <c r="X356" s="167" t="s">
        <v>429</v>
      </c>
      <c r="Y356" s="167" t="s">
        <v>426</v>
      </c>
      <c r="Z356" s="167" t="s">
        <v>431</v>
      </c>
      <c r="AA356" s="167" t="s">
        <v>437</v>
      </c>
      <c r="AB356" s="169" t="s">
        <v>430</v>
      </c>
    </row>
    <row r="357" spans="19:28" ht="23.25" customHeight="1" x14ac:dyDescent="0.25">
      <c r="S357" s="168">
        <v>1723</v>
      </c>
      <c r="T357" s="168" t="s">
        <v>801</v>
      </c>
      <c r="U357" s="167" t="s">
        <v>433</v>
      </c>
      <c r="V357" s="167" t="s">
        <v>435</v>
      </c>
      <c r="W357" s="167" t="s">
        <v>427</v>
      </c>
      <c r="X357" s="167" t="s">
        <v>429</v>
      </c>
      <c r="Y357" s="167" t="s">
        <v>426</v>
      </c>
      <c r="Z357" s="167" t="s">
        <v>431</v>
      </c>
      <c r="AA357" s="167" t="s">
        <v>430</v>
      </c>
      <c r="AB357" s="169" t="s">
        <v>436</v>
      </c>
    </row>
    <row r="358" spans="19:28" ht="23.25" customHeight="1" x14ac:dyDescent="0.25">
      <c r="S358" s="168">
        <v>2491</v>
      </c>
      <c r="T358" s="168" t="s">
        <v>802</v>
      </c>
      <c r="U358" s="167" t="s">
        <v>433</v>
      </c>
      <c r="V358" s="167" t="s">
        <v>430</v>
      </c>
      <c r="W358" s="167" t="s">
        <v>427</v>
      </c>
      <c r="X358" s="167" t="s">
        <v>429</v>
      </c>
      <c r="Y358" s="167" t="s">
        <v>426</v>
      </c>
      <c r="Z358" s="167" t="s">
        <v>431</v>
      </c>
      <c r="AA358" s="167" t="s">
        <v>437</v>
      </c>
      <c r="AB358" s="169" t="s">
        <v>434</v>
      </c>
    </row>
    <row r="359" spans="19:28" ht="23.25" customHeight="1" x14ac:dyDescent="0.25">
      <c r="S359" s="168">
        <v>1467</v>
      </c>
      <c r="T359" s="168" t="s">
        <v>803</v>
      </c>
      <c r="U359" s="167" t="s">
        <v>433</v>
      </c>
      <c r="V359" s="167" t="s">
        <v>430</v>
      </c>
      <c r="W359" s="167" t="s">
        <v>427</v>
      </c>
      <c r="X359" s="167" t="s">
        <v>429</v>
      </c>
      <c r="Y359" s="167" t="s">
        <v>426</v>
      </c>
      <c r="Z359" s="167" t="s">
        <v>431</v>
      </c>
      <c r="AA359" s="167" t="s">
        <v>434</v>
      </c>
      <c r="AB359" s="169" t="s">
        <v>436</v>
      </c>
    </row>
    <row r="360" spans="19:28" ht="23.25" customHeight="1" x14ac:dyDescent="0.25">
      <c r="S360" s="168">
        <v>955</v>
      </c>
      <c r="T360" s="168" t="s">
        <v>804</v>
      </c>
      <c r="U360" s="167" t="s">
        <v>433</v>
      </c>
      <c r="V360" s="167" t="s">
        <v>435</v>
      </c>
      <c r="W360" s="167" t="s">
        <v>427</v>
      </c>
      <c r="X360" s="167" t="s">
        <v>429</v>
      </c>
      <c r="Y360" s="167" t="s">
        <v>426</v>
      </c>
      <c r="Z360" s="167" t="s">
        <v>431</v>
      </c>
      <c r="AA360" s="167" t="s">
        <v>430</v>
      </c>
      <c r="AB360" s="169" t="s">
        <v>434</v>
      </c>
    </row>
    <row r="361" spans="19:28" ht="23.25" customHeight="1" x14ac:dyDescent="0.25">
      <c r="S361" s="168">
        <v>3195</v>
      </c>
      <c r="T361" s="168" t="s">
        <v>805</v>
      </c>
      <c r="U361" s="167" t="s">
        <v>430</v>
      </c>
      <c r="V361" s="167" t="s">
        <v>432</v>
      </c>
      <c r="W361" s="167" t="s">
        <v>427</v>
      </c>
      <c r="X361" s="167" t="s">
        <v>429</v>
      </c>
      <c r="Y361" s="167" t="s">
        <v>426</v>
      </c>
      <c r="Z361" s="167" t="s">
        <v>431</v>
      </c>
      <c r="AA361" s="167" t="s">
        <v>437</v>
      </c>
      <c r="AB361" s="169" t="s">
        <v>436</v>
      </c>
    </row>
    <row r="362" spans="19:28" ht="23.25" customHeight="1" x14ac:dyDescent="0.25">
      <c r="S362" s="168">
        <v>2683</v>
      </c>
      <c r="T362" s="168" t="s">
        <v>806</v>
      </c>
      <c r="U362" s="167" t="s">
        <v>430</v>
      </c>
      <c r="V362" s="167" t="s">
        <v>432</v>
      </c>
      <c r="W362" s="167" t="s">
        <v>427</v>
      </c>
      <c r="X362" s="167" t="s">
        <v>429</v>
      </c>
      <c r="Y362" s="167" t="s">
        <v>426</v>
      </c>
      <c r="Z362" s="167" t="s">
        <v>431</v>
      </c>
      <c r="AA362" s="167" t="s">
        <v>437</v>
      </c>
      <c r="AB362" s="169" t="s">
        <v>435</v>
      </c>
    </row>
    <row r="363" spans="19:28" ht="23.25" customHeight="1" x14ac:dyDescent="0.25">
      <c r="S363" s="168">
        <v>1659</v>
      </c>
      <c r="T363" s="168" t="s">
        <v>807</v>
      </c>
      <c r="U363" s="167" t="s">
        <v>430</v>
      </c>
      <c r="V363" s="167" t="s">
        <v>432</v>
      </c>
      <c r="W363" s="167" t="s">
        <v>427</v>
      </c>
      <c r="X363" s="167" t="s">
        <v>429</v>
      </c>
      <c r="Y363" s="167" t="s">
        <v>426</v>
      </c>
      <c r="Z363" s="167" t="s">
        <v>431</v>
      </c>
      <c r="AA363" s="167" t="s">
        <v>435</v>
      </c>
      <c r="AB363" s="169" t="s">
        <v>436</v>
      </c>
    </row>
    <row r="364" spans="19:28" ht="23.25" customHeight="1" x14ac:dyDescent="0.25">
      <c r="S364" s="168">
        <v>2427</v>
      </c>
      <c r="T364" s="168" t="s">
        <v>808</v>
      </c>
      <c r="U364" s="167" t="s">
        <v>430</v>
      </c>
      <c r="V364" s="167" t="s">
        <v>432</v>
      </c>
      <c r="W364" s="167" t="s">
        <v>427</v>
      </c>
      <c r="X364" s="167" t="s">
        <v>429</v>
      </c>
      <c r="Y364" s="167" t="s">
        <v>426</v>
      </c>
      <c r="Z364" s="167" t="s">
        <v>431</v>
      </c>
      <c r="AA364" s="167" t="s">
        <v>437</v>
      </c>
      <c r="AB364" s="169" t="s">
        <v>434</v>
      </c>
    </row>
    <row r="365" spans="19:28" ht="23.25" customHeight="1" x14ac:dyDescent="0.25">
      <c r="S365" s="168">
        <v>1403</v>
      </c>
      <c r="T365" s="168" t="s">
        <v>809</v>
      </c>
      <c r="U365" s="167" t="s">
        <v>430</v>
      </c>
      <c r="V365" s="167" t="s">
        <v>432</v>
      </c>
      <c r="W365" s="167" t="s">
        <v>427</v>
      </c>
      <c r="X365" s="167" t="s">
        <v>429</v>
      </c>
      <c r="Y365" s="167" t="s">
        <v>426</v>
      </c>
      <c r="Z365" s="167" t="s">
        <v>431</v>
      </c>
      <c r="AA365" s="167" t="s">
        <v>434</v>
      </c>
      <c r="AB365" s="169" t="s">
        <v>436</v>
      </c>
    </row>
    <row r="366" spans="19:28" ht="23.25" customHeight="1" x14ac:dyDescent="0.25">
      <c r="S366" s="168">
        <v>891</v>
      </c>
      <c r="T366" s="168" t="s">
        <v>810</v>
      </c>
      <c r="U366" s="167" t="s">
        <v>430</v>
      </c>
      <c r="V366" s="167" t="s">
        <v>432</v>
      </c>
      <c r="W366" s="167" t="s">
        <v>427</v>
      </c>
      <c r="X366" s="167" t="s">
        <v>429</v>
      </c>
      <c r="Y366" s="167" t="s">
        <v>426</v>
      </c>
      <c r="Z366" s="167" t="s">
        <v>431</v>
      </c>
      <c r="AA366" s="167" t="s">
        <v>434</v>
      </c>
      <c r="AB366" s="169" t="s">
        <v>435</v>
      </c>
    </row>
    <row r="367" spans="19:28" ht="23.25" customHeight="1" x14ac:dyDescent="0.25">
      <c r="S367" s="168">
        <v>2299</v>
      </c>
      <c r="T367" s="168" t="s">
        <v>811</v>
      </c>
      <c r="U367" s="167" t="s">
        <v>433</v>
      </c>
      <c r="V367" s="167" t="s">
        <v>432</v>
      </c>
      <c r="W367" s="167" t="s">
        <v>427</v>
      </c>
      <c r="X367" s="167" t="s">
        <v>429</v>
      </c>
      <c r="Y367" s="167" t="s">
        <v>426</v>
      </c>
      <c r="Z367" s="167" t="s">
        <v>431</v>
      </c>
      <c r="AA367" s="167" t="s">
        <v>437</v>
      </c>
      <c r="AB367" s="169" t="s">
        <v>430</v>
      </c>
    </row>
    <row r="368" spans="19:28" ht="23.25" customHeight="1" x14ac:dyDescent="0.25">
      <c r="S368" s="168">
        <v>1275</v>
      </c>
      <c r="T368" s="168" t="s">
        <v>812</v>
      </c>
      <c r="U368" s="167" t="s">
        <v>433</v>
      </c>
      <c r="V368" s="167" t="s">
        <v>432</v>
      </c>
      <c r="W368" s="167" t="s">
        <v>427</v>
      </c>
      <c r="X368" s="167" t="s">
        <v>429</v>
      </c>
      <c r="Y368" s="167" t="s">
        <v>426</v>
      </c>
      <c r="Z368" s="167" t="s">
        <v>431</v>
      </c>
      <c r="AA368" s="167" t="s">
        <v>430</v>
      </c>
      <c r="AB368" s="169" t="s">
        <v>436</v>
      </c>
    </row>
    <row r="369" spans="19:28" ht="23.25" customHeight="1" x14ac:dyDescent="0.25">
      <c r="S369" s="168">
        <v>763</v>
      </c>
      <c r="T369" s="168" t="s">
        <v>813</v>
      </c>
      <c r="U369" s="167" t="s">
        <v>433</v>
      </c>
      <c r="V369" s="167" t="s">
        <v>432</v>
      </c>
      <c r="W369" s="167" t="s">
        <v>427</v>
      </c>
      <c r="X369" s="167" t="s">
        <v>429</v>
      </c>
      <c r="Y369" s="167" t="s">
        <v>426</v>
      </c>
      <c r="Z369" s="167" t="s">
        <v>431</v>
      </c>
      <c r="AA369" s="167" t="s">
        <v>430</v>
      </c>
      <c r="AB369" s="169" t="s">
        <v>435</v>
      </c>
    </row>
    <row r="370" spans="19:28" ht="23.25" customHeight="1" x14ac:dyDescent="0.25">
      <c r="S370" s="168">
        <v>507</v>
      </c>
      <c r="T370" s="168" t="s">
        <v>814</v>
      </c>
      <c r="U370" s="167" t="s">
        <v>433</v>
      </c>
      <c r="V370" s="167" t="s">
        <v>432</v>
      </c>
      <c r="W370" s="167" t="s">
        <v>427</v>
      </c>
      <c r="X370" s="167" t="s">
        <v>429</v>
      </c>
      <c r="Y370" s="167" t="s">
        <v>426</v>
      </c>
      <c r="Z370" s="167" t="s">
        <v>431</v>
      </c>
      <c r="AA370" s="167" t="s">
        <v>430</v>
      </c>
      <c r="AB370" s="169" t="s">
        <v>434</v>
      </c>
    </row>
    <row r="371" spans="19:28" ht="23.25" customHeight="1" x14ac:dyDescent="0.25">
      <c r="S371" s="168">
        <v>3975</v>
      </c>
      <c r="T371" s="168" t="s">
        <v>815</v>
      </c>
      <c r="U371" s="167" t="s">
        <v>434</v>
      </c>
      <c r="V371" s="167" t="s">
        <v>435</v>
      </c>
      <c r="W371" s="167" t="s">
        <v>427</v>
      </c>
      <c r="X371" s="167" t="s">
        <v>428</v>
      </c>
      <c r="Y371" s="167" t="s">
        <v>426</v>
      </c>
      <c r="Z371" s="167" t="s">
        <v>433</v>
      </c>
      <c r="AA371" s="167" t="s">
        <v>437</v>
      </c>
      <c r="AB371" s="169" t="s">
        <v>436</v>
      </c>
    </row>
    <row r="372" spans="19:28" ht="23.25" customHeight="1" x14ac:dyDescent="0.25">
      <c r="S372" s="168">
        <v>3911</v>
      </c>
      <c r="T372" s="168" t="s">
        <v>816</v>
      </c>
      <c r="U372" s="167" t="s">
        <v>434</v>
      </c>
      <c r="V372" s="167" t="s">
        <v>435</v>
      </c>
      <c r="W372" s="167" t="s">
        <v>427</v>
      </c>
      <c r="X372" s="167" t="s">
        <v>428</v>
      </c>
      <c r="Y372" s="167" t="s">
        <v>426</v>
      </c>
      <c r="Z372" s="167" t="s">
        <v>432</v>
      </c>
      <c r="AA372" s="167" t="s">
        <v>437</v>
      </c>
      <c r="AB372" s="169" t="s">
        <v>436</v>
      </c>
    </row>
    <row r="373" spans="19:28" ht="23.25" customHeight="1" x14ac:dyDescent="0.25">
      <c r="S373" s="168">
        <v>3783</v>
      </c>
      <c r="T373" s="168" t="s">
        <v>817</v>
      </c>
      <c r="U373" s="167" t="s">
        <v>433</v>
      </c>
      <c r="V373" s="167" t="s">
        <v>435</v>
      </c>
      <c r="W373" s="167" t="s">
        <v>427</v>
      </c>
      <c r="X373" s="167" t="s">
        <v>428</v>
      </c>
      <c r="Y373" s="167" t="s">
        <v>426</v>
      </c>
      <c r="Z373" s="167" t="s">
        <v>432</v>
      </c>
      <c r="AA373" s="167" t="s">
        <v>437</v>
      </c>
      <c r="AB373" s="169" t="s">
        <v>436</v>
      </c>
    </row>
    <row r="374" spans="19:28" ht="23.25" customHeight="1" x14ac:dyDescent="0.25">
      <c r="S374" s="168">
        <v>3527</v>
      </c>
      <c r="T374" s="168" t="s">
        <v>818</v>
      </c>
      <c r="U374" s="167" t="s">
        <v>434</v>
      </c>
      <c r="V374" s="167" t="s">
        <v>432</v>
      </c>
      <c r="W374" s="167" t="s">
        <v>427</v>
      </c>
      <c r="X374" s="167" t="s">
        <v>428</v>
      </c>
      <c r="Y374" s="167" t="s">
        <v>426</v>
      </c>
      <c r="Z374" s="167" t="s">
        <v>433</v>
      </c>
      <c r="AA374" s="167" t="s">
        <v>437</v>
      </c>
      <c r="AB374" s="169" t="s">
        <v>436</v>
      </c>
    </row>
    <row r="375" spans="19:28" ht="23.25" customHeight="1" x14ac:dyDescent="0.25">
      <c r="S375" s="168">
        <v>3015</v>
      </c>
      <c r="T375" s="168" t="s">
        <v>819</v>
      </c>
      <c r="U375" s="167" t="s">
        <v>433</v>
      </c>
      <c r="V375" s="167" t="s">
        <v>435</v>
      </c>
      <c r="W375" s="167" t="s">
        <v>427</v>
      </c>
      <c r="X375" s="167" t="s">
        <v>428</v>
      </c>
      <c r="Y375" s="167" t="s">
        <v>426</v>
      </c>
      <c r="Z375" s="167" t="s">
        <v>432</v>
      </c>
      <c r="AA375" s="167" t="s">
        <v>437</v>
      </c>
      <c r="AB375" s="169" t="s">
        <v>434</v>
      </c>
    </row>
    <row r="376" spans="19:28" ht="23.25" customHeight="1" x14ac:dyDescent="0.25">
      <c r="S376" s="168">
        <v>1991</v>
      </c>
      <c r="T376" s="168" t="s">
        <v>820</v>
      </c>
      <c r="U376" s="167" t="s">
        <v>433</v>
      </c>
      <c r="V376" s="167" t="s">
        <v>435</v>
      </c>
      <c r="W376" s="167" t="s">
        <v>427</v>
      </c>
      <c r="X376" s="167" t="s">
        <v>428</v>
      </c>
      <c r="Y376" s="167" t="s">
        <v>426</v>
      </c>
      <c r="Z376" s="167" t="s">
        <v>432</v>
      </c>
      <c r="AA376" s="167" t="s">
        <v>434</v>
      </c>
      <c r="AB376" s="169" t="s">
        <v>436</v>
      </c>
    </row>
    <row r="377" spans="19:28" ht="23.25" customHeight="1" x14ac:dyDescent="0.25">
      <c r="S377" s="168">
        <v>3879</v>
      </c>
      <c r="T377" s="168" t="s">
        <v>821</v>
      </c>
      <c r="U377" s="167" t="s">
        <v>434</v>
      </c>
      <c r="V377" s="167" t="s">
        <v>435</v>
      </c>
      <c r="W377" s="167" t="s">
        <v>427</v>
      </c>
      <c r="X377" s="167" t="s">
        <v>428</v>
      </c>
      <c r="Y377" s="167" t="s">
        <v>426</v>
      </c>
      <c r="Z377" s="167" t="s">
        <v>431</v>
      </c>
      <c r="AA377" s="167" t="s">
        <v>437</v>
      </c>
      <c r="AB377" s="169" t="s">
        <v>436</v>
      </c>
    </row>
    <row r="378" spans="19:28" ht="23.25" customHeight="1" x14ac:dyDescent="0.25">
      <c r="S378" s="168">
        <v>3751</v>
      </c>
      <c r="T378" s="168" t="s">
        <v>822</v>
      </c>
      <c r="U378" s="167" t="s">
        <v>433</v>
      </c>
      <c r="V378" s="167" t="s">
        <v>435</v>
      </c>
      <c r="W378" s="167" t="s">
        <v>427</v>
      </c>
      <c r="X378" s="167" t="s">
        <v>428</v>
      </c>
      <c r="Y378" s="167" t="s">
        <v>426</v>
      </c>
      <c r="Z378" s="167" t="s">
        <v>431</v>
      </c>
      <c r="AA378" s="167" t="s">
        <v>437</v>
      </c>
      <c r="AB378" s="169" t="s">
        <v>436</v>
      </c>
    </row>
    <row r="379" spans="19:28" ht="23.25" customHeight="1" x14ac:dyDescent="0.25">
      <c r="S379" s="168">
        <v>3495</v>
      </c>
      <c r="T379" s="168" t="s">
        <v>823</v>
      </c>
      <c r="U379" s="167" t="s">
        <v>433</v>
      </c>
      <c r="V379" s="167" t="s">
        <v>434</v>
      </c>
      <c r="W379" s="167" t="s">
        <v>427</v>
      </c>
      <c r="X379" s="167" t="s">
        <v>428</v>
      </c>
      <c r="Y379" s="167" t="s">
        <v>426</v>
      </c>
      <c r="Z379" s="167" t="s">
        <v>431</v>
      </c>
      <c r="AA379" s="167" t="s">
        <v>437</v>
      </c>
      <c r="AB379" s="169" t="s">
        <v>436</v>
      </c>
    </row>
    <row r="380" spans="19:28" ht="23.25" customHeight="1" x14ac:dyDescent="0.25">
      <c r="S380" s="168">
        <v>2983</v>
      </c>
      <c r="T380" s="168" t="s">
        <v>824</v>
      </c>
      <c r="U380" s="167" t="s">
        <v>433</v>
      </c>
      <c r="V380" s="167" t="s">
        <v>435</v>
      </c>
      <c r="W380" s="167" t="s">
        <v>427</v>
      </c>
      <c r="X380" s="167" t="s">
        <v>428</v>
      </c>
      <c r="Y380" s="167" t="s">
        <v>426</v>
      </c>
      <c r="Z380" s="167" t="s">
        <v>431</v>
      </c>
      <c r="AA380" s="167" t="s">
        <v>437</v>
      </c>
      <c r="AB380" s="169" t="s">
        <v>434</v>
      </c>
    </row>
    <row r="381" spans="19:28" ht="23.25" customHeight="1" x14ac:dyDescent="0.25">
      <c r="S381" s="168">
        <v>1959</v>
      </c>
      <c r="T381" s="168" t="s">
        <v>825</v>
      </c>
      <c r="U381" s="167" t="s">
        <v>433</v>
      </c>
      <c r="V381" s="167" t="s">
        <v>435</v>
      </c>
      <c r="W381" s="167" t="s">
        <v>427</v>
      </c>
      <c r="X381" s="167" t="s">
        <v>428</v>
      </c>
      <c r="Y381" s="167" t="s">
        <v>426</v>
      </c>
      <c r="Z381" s="167" t="s">
        <v>431</v>
      </c>
      <c r="AA381" s="167" t="s">
        <v>434</v>
      </c>
      <c r="AB381" s="169" t="s">
        <v>436</v>
      </c>
    </row>
    <row r="382" spans="19:28" ht="23.25" customHeight="1" x14ac:dyDescent="0.25">
      <c r="S382" s="168">
        <v>3687</v>
      </c>
      <c r="T382" s="168" t="s">
        <v>826</v>
      </c>
      <c r="U382" s="167" t="s">
        <v>428</v>
      </c>
      <c r="V382" s="167" t="s">
        <v>435</v>
      </c>
      <c r="W382" s="167" t="s">
        <v>427</v>
      </c>
      <c r="X382" s="167" t="s">
        <v>431</v>
      </c>
      <c r="Y382" s="167" t="s">
        <v>426</v>
      </c>
      <c r="Z382" s="167" t="s">
        <v>432</v>
      </c>
      <c r="AA382" s="167" t="s">
        <v>437</v>
      </c>
      <c r="AB382" s="169" t="s">
        <v>436</v>
      </c>
    </row>
    <row r="383" spans="19:28" ht="23.25" customHeight="1" x14ac:dyDescent="0.25">
      <c r="S383" s="168">
        <v>3431</v>
      </c>
      <c r="T383" s="168" t="s">
        <v>827</v>
      </c>
      <c r="U383" s="167" t="s">
        <v>434</v>
      </c>
      <c r="V383" s="167" t="s">
        <v>432</v>
      </c>
      <c r="W383" s="167" t="s">
        <v>427</v>
      </c>
      <c r="X383" s="167" t="s">
        <v>428</v>
      </c>
      <c r="Y383" s="167" t="s">
        <v>426</v>
      </c>
      <c r="Z383" s="167" t="s">
        <v>431</v>
      </c>
      <c r="AA383" s="167" t="s">
        <v>437</v>
      </c>
      <c r="AB383" s="169" t="s">
        <v>436</v>
      </c>
    </row>
    <row r="384" spans="19:28" ht="23.25" customHeight="1" x14ac:dyDescent="0.25">
      <c r="S384" s="168">
        <v>2919</v>
      </c>
      <c r="T384" s="168" t="s">
        <v>828</v>
      </c>
      <c r="U384" s="167" t="s">
        <v>428</v>
      </c>
      <c r="V384" s="167" t="s">
        <v>435</v>
      </c>
      <c r="W384" s="167" t="s">
        <v>427</v>
      </c>
      <c r="X384" s="167" t="s">
        <v>431</v>
      </c>
      <c r="Y384" s="167" t="s">
        <v>426</v>
      </c>
      <c r="Z384" s="167" t="s">
        <v>432</v>
      </c>
      <c r="AA384" s="167" t="s">
        <v>437</v>
      </c>
      <c r="AB384" s="169" t="s">
        <v>434</v>
      </c>
    </row>
    <row r="385" spans="19:28" ht="23.25" customHeight="1" x14ac:dyDescent="0.25">
      <c r="S385" s="168">
        <v>1895</v>
      </c>
      <c r="T385" s="168" t="s">
        <v>829</v>
      </c>
      <c r="U385" s="167" t="s">
        <v>428</v>
      </c>
      <c r="V385" s="167" t="s">
        <v>435</v>
      </c>
      <c r="W385" s="167" t="s">
        <v>427</v>
      </c>
      <c r="X385" s="167" t="s">
        <v>431</v>
      </c>
      <c r="Y385" s="167" t="s">
        <v>426</v>
      </c>
      <c r="Z385" s="167" t="s">
        <v>432</v>
      </c>
      <c r="AA385" s="167" t="s">
        <v>434</v>
      </c>
      <c r="AB385" s="169" t="s">
        <v>436</v>
      </c>
    </row>
    <row r="386" spans="19:28" ht="23.25" customHeight="1" x14ac:dyDescent="0.25">
      <c r="S386" s="168">
        <v>3303</v>
      </c>
      <c r="T386" s="168" t="s">
        <v>830</v>
      </c>
      <c r="U386" s="167" t="s">
        <v>433</v>
      </c>
      <c r="V386" s="167" t="s">
        <v>432</v>
      </c>
      <c r="W386" s="167" t="s">
        <v>427</v>
      </c>
      <c r="X386" s="167" t="s">
        <v>428</v>
      </c>
      <c r="Y386" s="167" t="s">
        <v>426</v>
      </c>
      <c r="Z386" s="167" t="s">
        <v>431</v>
      </c>
      <c r="AA386" s="167" t="s">
        <v>437</v>
      </c>
      <c r="AB386" s="169" t="s">
        <v>436</v>
      </c>
    </row>
    <row r="387" spans="19:28" ht="23.25" customHeight="1" x14ac:dyDescent="0.25">
      <c r="S387" s="168">
        <v>2791</v>
      </c>
      <c r="T387" s="168" t="s">
        <v>831</v>
      </c>
      <c r="U387" s="167" t="s">
        <v>433</v>
      </c>
      <c r="V387" s="167" t="s">
        <v>432</v>
      </c>
      <c r="W387" s="167" t="s">
        <v>427</v>
      </c>
      <c r="X387" s="167" t="s">
        <v>428</v>
      </c>
      <c r="Y387" s="167" t="s">
        <v>426</v>
      </c>
      <c r="Z387" s="167" t="s">
        <v>431</v>
      </c>
      <c r="AA387" s="167" t="s">
        <v>437</v>
      </c>
      <c r="AB387" s="169" t="s">
        <v>435</v>
      </c>
    </row>
    <row r="388" spans="19:28" ht="23.25" customHeight="1" x14ac:dyDescent="0.25">
      <c r="S388" s="168">
        <v>1767</v>
      </c>
      <c r="T388" s="168" t="s">
        <v>832</v>
      </c>
      <c r="U388" s="167" t="s">
        <v>433</v>
      </c>
      <c r="V388" s="167" t="s">
        <v>432</v>
      </c>
      <c r="W388" s="167" t="s">
        <v>427</v>
      </c>
      <c r="X388" s="167" t="s">
        <v>428</v>
      </c>
      <c r="Y388" s="167" t="s">
        <v>426</v>
      </c>
      <c r="Z388" s="167" t="s">
        <v>431</v>
      </c>
      <c r="AA388" s="167" t="s">
        <v>435</v>
      </c>
      <c r="AB388" s="169" t="s">
        <v>436</v>
      </c>
    </row>
    <row r="389" spans="19:28" ht="23.25" customHeight="1" x14ac:dyDescent="0.25">
      <c r="S389" s="168">
        <v>2535</v>
      </c>
      <c r="T389" s="168" t="s">
        <v>833</v>
      </c>
      <c r="U389" s="167" t="s">
        <v>433</v>
      </c>
      <c r="V389" s="167" t="s">
        <v>432</v>
      </c>
      <c r="W389" s="167" t="s">
        <v>427</v>
      </c>
      <c r="X389" s="167" t="s">
        <v>428</v>
      </c>
      <c r="Y389" s="167" t="s">
        <v>426</v>
      </c>
      <c r="Z389" s="167" t="s">
        <v>431</v>
      </c>
      <c r="AA389" s="167" t="s">
        <v>437</v>
      </c>
      <c r="AB389" s="169" t="s">
        <v>434</v>
      </c>
    </row>
    <row r="390" spans="19:28" ht="23.25" customHeight="1" x14ac:dyDescent="0.25">
      <c r="S390" s="168">
        <v>1511</v>
      </c>
      <c r="T390" s="168" t="s">
        <v>834</v>
      </c>
      <c r="U390" s="167" t="s">
        <v>433</v>
      </c>
      <c r="V390" s="167" t="s">
        <v>432</v>
      </c>
      <c r="W390" s="167" t="s">
        <v>427</v>
      </c>
      <c r="X390" s="167" t="s">
        <v>428</v>
      </c>
      <c r="Y390" s="167" t="s">
        <v>426</v>
      </c>
      <c r="Z390" s="167" t="s">
        <v>431</v>
      </c>
      <c r="AA390" s="167" t="s">
        <v>434</v>
      </c>
      <c r="AB390" s="169" t="s">
        <v>436</v>
      </c>
    </row>
    <row r="391" spans="19:28" ht="23.25" customHeight="1" x14ac:dyDescent="0.25">
      <c r="S391" s="168">
        <v>999</v>
      </c>
      <c r="T391" s="168" t="s">
        <v>835</v>
      </c>
      <c r="U391" s="167" t="s">
        <v>433</v>
      </c>
      <c r="V391" s="167" t="s">
        <v>432</v>
      </c>
      <c r="W391" s="167" t="s">
        <v>427</v>
      </c>
      <c r="X391" s="167" t="s">
        <v>428</v>
      </c>
      <c r="Y391" s="167" t="s">
        <v>426</v>
      </c>
      <c r="Z391" s="167" t="s">
        <v>431</v>
      </c>
      <c r="AA391" s="167" t="s">
        <v>434</v>
      </c>
      <c r="AB391" s="169" t="s">
        <v>435</v>
      </c>
    </row>
    <row r="392" spans="19:28" ht="23.25" customHeight="1" x14ac:dyDescent="0.25">
      <c r="S392" s="168">
        <v>3863</v>
      </c>
      <c r="T392" s="168" t="s">
        <v>836</v>
      </c>
      <c r="U392" s="167" t="s">
        <v>430</v>
      </c>
      <c r="V392" s="167" t="s">
        <v>435</v>
      </c>
      <c r="W392" s="167" t="s">
        <v>427</v>
      </c>
      <c r="X392" s="167" t="s">
        <v>426</v>
      </c>
      <c r="Y392" s="167" t="s">
        <v>434</v>
      </c>
      <c r="Z392" s="167" t="s">
        <v>428</v>
      </c>
      <c r="AA392" s="167" t="s">
        <v>437</v>
      </c>
      <c r="AB392" s="169" t="s">
        <v>436</v>
      </c>
    </row>
    <row r="393" spans="19:28" ht="23.25" customHeight="1" x14ac:dyDescent="0.25">
      <c r="S393" s="168">
        <v>3735</v>
      </c>
      <c r="T393" s="168" t="s">
        <v>837</v>
      </c>
      <c r="U393" s="167" t="s">
        <v>430</v>
      </c>
      <c r="V393" s="167" t="s">
        <v>435</v>
      </c>
      <c r="W393" s="167" t="s">
        <v>427</v>
      </c>
      <c r="X393" s="167" t="s">
        <v>428</v>
      </c>
      <c r="Y393" s="167" t="s">
        <v>426</v>
      </c>
      <c r="Z393" s="167" t="s">
        <v>433</v>
      </c>
      <c r="AA393" s="167" t="s">
        <v>437</v>
      </c>
      <c r="AB393" s="169" t="s">
        <v>436</v>
      </c>
    </row>
    <row r="394" spans="19:28" ht="23.25" customHeight="1" x14ac:dyDescent="0.25">
      <c r="S394" s="168">
        <v>3479</v>
      </c>
      <c r="T394" s="168" t="s">
        <v>838</v>
      </c>
      <c r="U394" s="167" t="s">
        <v>430</v>
      </c>
      <c r="V394" s="167" t="s">
        <v>434</v>
      </c>
      <c r="W394" s="167" t="s">
        <v>427</v>
      </c>
      <c r="X394" s="167" t="s">
        <v>428</v>
      </c>
      <c r="Y394" s="167" t="s">
        <v>426</v>
      </c>
      <c r="Z394" s="167" t="s">
        <v>433</v>
      </c>
      <c r="AA394" s="167" t="s">
        <v>437</v>
      </c>
      <c r="AB394" s="169" t="s">
        <v>436</v>
      </c>
    </row>
    <row r="395" spans="19:28" ht="23.25" customHeight="1" x14ac:dyDescent="0.25">
      <c r="S395" s="168">
        <v>2967</v>
      </c>
      <c r="T395" s="168" t="s">
        <v>839</v>
      </c>
      <c r="U395" s="167" t="s">
        <v>430</v>
      </c>
      <c r="V395" s="167" t="s">
        <v>435</v>
      </c>
      <c r="W395" s="167" t="s">
        <v>427</v>
      </c>
      <c r="X395" s="167" t="s">
        <v>428</v>
      </c>
      <c r="Y395" s="167" t="s">
        <v>426</v>
      </c>
      <c r="Z395" s="167" t="s">
        <v>433</v>
      </c>
      <c r="AA395" s="167" t="s">
        <v>437</v>
      </c>
      <c r="AB395" s="169" t="s">
        <v>434</v>
      </c>
    </row>
    <row r="396" spans="19:28" ht="23.25" customHeight="1" x14ac:dyDescent="0.25">
      <c r="S396" s="168">
        <v>1943</v>
      </c>
      <c r="T396" s="168" t="s">
        <v>840</v>
      </c>
      <c r="U396" s="167" t="s">
        <v>430</v>
      </c>
      <c r="V396" s="167" t="s">
        <v>435</v>
      </c>
      <c r="W396" s="167" t="s">
        <v>427</v>
      </c>
      <c r="X396" s="167" t="s">
        <v>428</v>
      </c>
      <c r="Y396" s="167" t="s">
        <v>426</v>
      </c>
      <c r="Z396" s="167" t="s">
        <v>433</v>
      </c>
      <c r="AA396" s="167" t="s">
        <v>434</v>
      </c>
      <c r="AB396" s="169" t="s">
        <v>436</v>
      </c>
    </row>
    <row r="397" spans="19:28" ht="23.25" customHeight="1" x14ac:dyDescent="0.25">
      <c r="S397" s="168">
        <v>3671</v>
      </c>
      <c r="T397" s="168" t="s">
        <v>841</v>
      </c>
      <c r="U397" s="167" t="s">
        <v>430</v>
      </c>
      <c r="V397" s="167" t="s">
        <v>435</v>
      </c>
      <c r="W397" s="167" t="s">
        <v>427</v>
      </c>
      <c r="X397" s="167" t="s">
        <v>428</v>
      </c>
      <c r="Y397" s="167" t="s">
        <v>426</v>
      </c>
      <c r="Z397" s="167" t="s">
        <v>432</v>
      </c>
      <c r="AA397" s="167" t="s">
        <v>437</v>
      </c>
      <c r="AB397" s="169" t="s">
        <v>436</v>
      </c>
    </row>
    <row r="398" spans="19:28" ht="23.25" customHeight="1" x14ac:dyDescent="0.25">
      <c r="S398" s="168">
        <v>3415</v>
      </c>
      <c r="T398" s="168" t="s">
        <v>842</v>
      </c>
      <c r="U398" s="167" t="s">
        <v>430</v>
      </c>
      <c r="V398" s="167" t="s">
        <v>432</v>
      </c>
      <c r="W398" s="167" t="s">
        <v>427</v>
      </c>
      <c r="X398" s="167" t="s">
        <v>426</v>
      </c>
      <c r="Y398" s="167" t="s">
        <v>434</v>
      </c>
      <c r="Z398" s="167" t="s">
        <v>428</v>
      </c>
      <c r="AA398" s="167" t="s">
        <v>437</v>
      </c>
      <c r="AB398" s="169" t="s">
        <v>436</v>
      </c>
    </row>
    <row r="399" spans="19:28" ht="23.25" customHeight="1" x14ac:dyDescent="0.25">
      <c r="S399" s="168">
        <v>2903</v>
      </c>
      <c r="T399" s="168" t="s">
        <v>843</v>
      </c>
      <c r="U399" s="167" t="s">
        <v>430</v>
      </c>
      <c r="V399" s="167" t="s">
        <v>435</v>
      </c>
      <c r="W399" s="167" t="s">
        <v>427</v>
      </c>
      <c r="X399" s="167" t="s">
        <v>428</v>
      </c>
      <c r="Y399" s="167" t="s">
        <v>426</v>
      </c>
      <c r="Z399" s="167" t="s">
        <v>432</v>
      </c>
      <c r="AA399" s="167" t="s">
        <v>437</v>
      </c>
      <c r="AB399" s="169" t="s">
        <v>434</v>
      </c>
    </row>
    <row r="400" spans="19:28" ht="23.25" customHeight="1" x14ac:dyDescent="0.25">
      <c r="S400" s="168">
        <v>1879</v>
      </c>
      <c r="T400" s="168" t="s">
        <v>844</v>
      </c>
      <c r="U400" s="167" t="s">
        <v>430</v>
      </c>
      <c r="V400" s="167" t="s">
        <v>435</v>
      </c>
      <c r="W400" s="167" t="s">
        <v>427</v>
      </c>
      <c r="X400" s="167" t="s">
        <v>428</v>
      </c>
      <c r="Y400" s="167" t="s">
        <v>426</v>
      </c>
      <c r="Z400" s="167" t="s">
        <v>432</v>
      </c>
      <c r="AA400" s="167" t="s">
        <v>434</v>
      </c>
      <c r="AB400" s="169" t="s">
        <v>436</v>
      </c>
    </row>
    <row r="401" spans="19:28" ht="23.25" customHeight="1" x14ac:dyDescent="0.25">
      <c r="S401" s="168">
        <v>3287</v>
      </c>
      <c r="T401" s="168" t="s">
        <v>845</v>
      </c>
      <c r="U401" s="167" t="s">
        <v>430</v>
      </c>
      <c r="V401" s="167" t="s">
        <v>432</v>
      </c>
      <c r="W401" s="167" t="s">
        <v>427</v>
      </c>
      <c r="X401" s="167" t="s">
        <v>428</v>
      </c>
      <c r="Y401" s="167" t="s">
        <v>426</v>
      </c>
      <c r="Z401" s="167" t="s">
        <v>433</v>
      </c>
      <c r="AA401" s="167" t="s">
        <v>437</v>
      </c>
      <c r="AB401" s="169" t="s">
        <v>436</v>
      </c>
    </row>
    <row r="402" spans="19:28" ht="23.25" customHeight="1" x14ac:dyDescent="0.25">
      <c r="S402" s="168">
        <v>2775</v>
      </c>
      <c r="T402" s="168" t="s">
        <v>846</v>
      </c>
      <c r="U402" s="167" t="s">
        <v>433</v>
      </c>
      <c r="V402" s="167" t="s">
        <v>435</v>
      </c>
      <c r="W402" s="167" t="s">
        <v>427</v>
      </c>
      <c r="X402" s="167" t="s">
        <v>428</v>
      </c>
      <c r="Y402" s="167" t="s">
        <v>426</v>
      </c>
      <c r="Z402" s="167" t="s">
        <v>432</v>
      </c>
      <c r="AA402" s="167" t="s">
        <v>437</v>
      </c>
      <c r="AB402" s="169" t="s">
        <v>430</v>
      </c>
    </row>
    <row r="403" spans="19:28" ht="23.25" customHeight="1" x14ac:dyDescent="0.25">
      <c r="S403" s="168">
        <v>1751</v>
      </c>
      <c r="T403" s="168" t="s">
        <v>847</v>
      </c>
      <c r="U403" s="167" t="s">
        <v>433</v>
      </c>
      <c r="V403" s="167" t="s">
        <v>435</v>
      </c>
      <c r="W403" s="167" t="s">
        <v>427</v>
      </c>
      <c r="X403" s="167" t="s">
        <v>428</v>
      </c>
      <c r="Y403" s="167" t="s">
        <v>426</v>
      </c>
      <c r="Z403" s="167" t="s">
        <v>432</v>
      </c>
      <c r="AA403" s="167" t="s">
        <v>430</v>
      </c>
      <c r="AB403" s="169" t="s">
        <v>436</v>
      </c>
    </row>
    <row r="404" spans="19:28" ht="23.25" customHeight="1" x14ac:dyDescent="0.25">
      <c r="S404" s="168">
        <v>2519</v>
      </c>
      <c r="T404" s="168" t="s">
        <v>848</v>
      </c>
      <c r="U404" s="167" t="s">
        <v>430</v>
      </c>
      <c r="V404" s="167" t="s">
        <v>432</v>
      </c>
      <c r="W404" s="167" t="s">
        <v>427</v>
      </c>
      <c r="X404" s="167" t="s">
        <v>428</v>
      </c>
      <c r="Y404" s="167" t="s">
        <v>426</v>
      </c>
      <c r="Z404" s="167" t="s">
        <v>433</v>
      </c>
      <c r="AA404" s="167" t="s">
        <v>437</v>
      </c>
      <c r="AB404" s="169" t="s">
        <v>434</v>
      </c>
    </row>
    <row r="405" spans="19:28" ht="23.25" customHeight="1" x14ac:dyDescent="0.25">
      <c r="S405" s="168">
        <v>1495</v>
      </c>
      <c r="T405" s="168" t="s">
        <v>849</v>
      </c>
      <c r="U405" s="167" t="s">
        <v>430</v>
      </c>
      <c r="V405" s="167" t="s">
        <v>432</v>
      </c>
      <c r="W405" s="167" t="s">
        <v>427</v>
      </c>
      <c r="X405" s="167" t="s">
        <v>428</v>
      </c>
      <c r="Y405" s="167" t="s">
        <v>426</v>
      </c>
      <c r="Z405" s="167" t="s">
        <v>433</v>
      </c>
      <c r="AA405" s="167" t="s">
        <v>434</v>
      </c>
      <c r="AB405" s="169" t="s">
        <v>436</v>
      </c>
    </row>
    <row r="406" spans="19:28" ht="23.25" customHeight="1" x14ac:dyDescent="0.25">
      <c r="S406" s="168">
        <v>983</v>
      </c>
      <c r="T406" s="168" t="s">
        <v>850</v>
      </c>
      <c r="U406" s="167" t="s">
        <v>433</v>
      </c>
      <c r="V406" s="167" t="s">
        <v>435</v>
      </c>
      <c r="W406" s="167" t="s">
        <v>427</v>
      </c>
      <c r="X406" s="167" t="s">
        <v>428</v>
      </c>
      <c r="Y406" s="167" t="s">
        <v>426</v>
      </c>
      <c r="Z406" s="167" t="s">
        <v>432</v>
      </c>
      <c r="AA406" s="167" t="s">
        <v>430</v>
      </c>
      <c r="AB406" s="169" t="s">
        <v>434</v>
      </c>
    </row>
    <row r="407" spans="19:28" ht="23.25" customHeight="1" x14ac:dyDescent="0.25">
      <c r="S407" s="168">
        <v>3639</v>
      </c>
      <c r="T407" s="168" t="s">
        <v>851</v>
      </c>
      <c r="U407" s="167" t="s">
        <v>430</v>
      </c>
      <c r="V407" s="167" t="s">
        <v>435</v>
      </c>
      <c r="W407" s="167" t="s">
        <v>427</v>
      </c>
      <c r="X407" s="167" t="s">
        <v>428</v>
      </c>
      <c r="Y407" s="167" t="s">
        <v>426</v>
      </c>
      <c r="Z407" s="167" t="s">
        <v>431</v>
      </c>
      <c r="AA407" s="167" t="s">
        <v>437</v>
      </c>
      <c r="AB407" s="169" t="s">
        <v>436</v>
      </c>
    </row>
    <row r="408" spans="19:28" ht="23.25" customHeight="1" x14ac:dyDescent="0.25">
      <c r="S408" s="168">
        <v>3383</v>
      </c>
      <c r="T408" s="168" t="s">
        <v>852</v>
      </c>
      <c r="U408" s="167" t="s">
        <v>430</v>
      </c>
      <c r="V408" s="167" t="s">
        <v>434</v>
      </c>
      <c r="W408" s="167" t="s">
        <v>427</v>
      </c>
      <c r="X408" s="167" t="s">
        <v>428</v>
      </c>
      <c r="Y408" s="167" t="s">
        <v>426</v>
      </c>
      <c r="Z408" s="167" t="s">
        <v>431</v>
      </c>
      <c r="AA408" s="167" t="s">
        <v>437</v>
      </c>
      <c r="AB408" s="169" t="s">
        <v>436</v>
      </c>
    </row>
    <row r="409" spans="19:28" ht="23.25" customHeight="1" x14ac:dyDescent="0.25">
      <c r="S409" s="168">
        <v>2871</v>
      </c>
      <c r="T409" s="168" t="s">
        <v>853</v>
      </c>
      <c r="U409" s="167" t="s">
        <v>430</v>
      </c>
      <c r="V409" s="167" t="s">
        <v>435</v>
      </c>
      <c r="W409" s="167" t="s">
        <v>427</v>
      </c>
      <c r="X409" s="167" t="s">
        <v>428</v>
      </c>
      <c r="Y409" s="167" t="s">
        <v>426</v>
      </c>
      <c r="Z409" s="167" t="s">
        <v>431</v>
      </c>
      <c r="AA409" s="167" t="s">
        <v>437</v>
      </c>
      <c r="AB409" s="169" t="s">
        <v>434</v>
      </c>
    </row>
    <row r="410" spans="19:28" ht="23.25" customHeight="1" x14ac:dyDescent="0.25">
      <c r="S410" s="168">
        <v>1847</v>
      </c>
      <c r="T410" s="168" t="s">
        <v>854</v>
      </c>
      <c r="U410" s="167" t="s">
        <v>430</v>
      </c>
      <c r="V410" s="167" t="s">
        <v>435</v>
      </c>
      <c r="W410" s="167" t="s">
        <v>427</v>
      </c>
      <c r="X410" s="167" t="s">
        <v>428</v>
      </c>
      <c r="Y410" s="167" t="s">
        <v>426</v>
      </c>
      <c r="Z410" s="167" t="s">
        <v>431</v>
      </c>
      <c r="AA410" s="167" t="s">
        <v>434</v>
      </c>
      <c r="AB410" s="169" t="s">
        <v>436</v>
      </c>
    </row>
    <row r="411" spans="19:28" ht="23.25" customHeight="1" x14ac:dyDescent="0.25">
      <c r="S411" s="168">
        <v>3255</v>
      </c>
      <c r="T411" s="168" t="s">
        <v>855</v>
      </c>
      <c r="U411" s="167" t="s">
        <v>433</v>
      </c>
      <c r="V411" s="167" t="s">
        <v>430</v>
      </c>
      <c r="W411" s="167" t="s">
        <v>427</v>
      </c>
      <c r="X411" s="167" t="s">
        <v>428</v>
      </c>
      <c r="Y411" s="167" t="s">
        <v>426</v>
      </c>
      <c r="Z411" s="167" t="s">
        <v>431</v>
      </c>
      <c r="AA411" s="167" t="s">
        <v>437</v>
      </c>
      <c r="AB411" s="169" t="s">
        <v>436</v>
      </c>
    </row>
    <row r="412" spans="19:28" ht="23.25" customHeight="1" x14ac:dyDescent="0.25">
      <c r="S412" s="168">
        <v>2743</v>
      </c>
      <c r="T412" s="168" t="s">
        <v>856</v>
      </c>
      <c r="U412" s="167" t="s">
        <v>433</v>
      </c>
      <c r="V412" s="167" t="s">
        <v>435</v>
      </c>
      <c r="W412" s="167" t="s">
        <v>427</v>
      </c>
      <c r="X412" s="167" t="s">
        <v>428</v>
      </c>
      <c r="Y412" s="167" t="s">
        <v>426</v>
      </c>
      <c r="Z412" s="167" t="s">
        <v>431</v>
      </c>
      <c r="AA412" s="167" t="s">
        <v>437</v>
      </c>
      <c r="AB412" s="169" t="s">
        <v>430</v>
      </c>
    </row>
    <row r="413" spans="19:28" ht="23.25" customHeight="1" x14ac:dyDescent="0.25">
      <c r="S413" s="168">
        <v>1719</v>
      </c>
      <c r="T413" s="168" t="s">
        <v>857</v>
      </c>
      <c r="U413" s="167" t="s">
        <v>433</v>
      </c>
      <c r="V413" s="167" t="s">
        <v>435</v>
      </c>
      <c r="W413" s="167" t="s">
        <v>427</v>
      </c>
      <c r="X413" s="167" t="s">
        <v>428</v>
      </c>
      <c r="Y413" s="167" t="s">
        <v>426</v>
      </c>
      <c r="Z413" s="167" t="s">
        <v>431</v>
      </c>
      <c r="AA413" s="167" t="s">
        <v>430</v>
      </c>
      <c r="AB413" s="169" t="s">
        <v>436</v>
      </c>
    </row>
    <row r="414" spans="19:28" ht="23.25" customHeight="1" x14ac:dyDescent="0.25">
      <c r="S414" s="168">
        <v>2487</v>
      </c>
      <c r="T414" s="168" t="s">
        <v>858</v>
      </c>
      <c r="U414" s="167" t="s">
        <v>433</v>
      </c>
      <c r="V414" s="167" t="s">
        <v>430</v>
      </c>
      <c r="W414" s="167" t="s">
        <v>427</v>
      </c>
      <c r="X414" s="167" t="s">
        <v>428</v>
      </c>
      <c r="Y414" s="167" t="s">
        <v>426</v>
      </c>
      <c r="Z414" s="167" t="s">
        <v>431</v>
      </c>
      <c r="AA414" s="167" t="s">
        <v>437</v>
      </c>
      <c r="AB414" s="169" t="s">
        <v>434</v>
      </c>
    </row>
    <row r="415" spans="19:28" ht="23.25" customHeight="1" x14ac:dyDescent="0.25">
      <c r="S415" s="168">
        <v>1463</v>
      </c>
      <c r="T415" s="168" t="s">
        <v>859</v>
      </c>
      <c r="U415" s="167" t="s">
        <v>433</v>
      </c>
      <c r="V415" s="167" t="s">
        <v>430</v>
      </c>
      <c r="W415" s="167" t="s">
        <v>427</v>
      </c>
      <c r="X415" s="167" t="s">
        <v>428</v>
      </c>
      <c r="Y415" s="167" t="s">
        <v>426</v>
      </c>
      <c r="Z415" s="167" t="s">
        <v>431</v>
      </c>
      <c r="AA415" s="167" t="s">
        <v>434</v>
      </c>
      <c r="AB415" s="169" t="s">
        <v>436</v>
      </c>
    </row>
    <row r="416" spans="19:28" ht="23.25" customHeight="1" x14ac:dyDescent="0.25">
      <c r="S416" s="168">
        <v>951</v>
      </c>
      <c r="T416" s="168" t="s">
        <v>860</v>
      </c>
      <c r="U416" s="167" t="s">
        <v>433</v>
      </c>
      <c r="V416" s="167" t="s">
        <v>435</v>
      </c>
      <c r="W416" s="167" t="s">
        <v>427</v>
      </c>
      <c r="X416" s="167" t="s">
        <v>428</v>
      </c>
      <c r="Y416" s="167" t="s">
        <v>426</v>
      </c>
      <c r="Z416" s="167" t="s">
        <v>431</v>
      </c>
      <c r="AA416" s="167" t="s">
        <v>430</v>
      </c>
      <c r="AB416" s="169" t="s">
        <v>434</v>
      </c>
    </row>
    <row r="417" spans="19:28" ht="23.25" customHeight="1" x14ac:dyDescent="0.25">
      <c r="S417" s="168">
        <v>3191</v>
      </c>
      <c r="T417" s="168" t="s">
        <v>861</v>
      </c>
      <c r="U417" s="167" t="s">
        <v>430</v>
      </c>
      <c r="V417" s="167" t="s">
        <v>432</v>
      </c>
      <c r="W417" s="167" t="s">
        <v>427</v>
      </c>
      <c r="X417" s="167" t="s">
        <v>428</v>
      </c>
      <c r="Y417" s="167" t="s">
        <v>426</v>
      </c>
      <c r="Z417" s="167" t="s">
        <v>431</v>
      </c>
      <c r="AA417" s="167" t="s">
        <v>437</v>
      </c>
      <c r="AB417" s="169" t="s">
        <v>436</v>
      </c>
    </row>
    <row r="418" spans="19:28" ht="23.25" customHeight="1" x14ac:dyDescent="0.25">
      <c r="S418" s="168">
        <v>2679</v>
      </c>
      <c r="T418" s="168" t="s">
        <v>862</v>
      </c>
      <c r="U418" s="167" t="s">
        <v>430</v>
      </c>
      <c r="V418" s="167" t="s">
        <v>432</v>
      </c>
      <c r="W418" s="167" t="s">
        <v>427</v>
      </c>
      <c r="X418" s="167" t="s">
        <v>428</v>
      </c>
      <c r="Y418" s="167" t="s">
        <v>426</v>
      </c>
      <c r="Z418" s="167" t="s">
        <v>431</v>
      </c>
      <c r="AA418" s="167" t="s">
        <v>437</v>
      </c>
      <c r="AB418" s="169" t="s">
        <v>435</v>
      </c>
    </row>
    <row r="419" spans="19:28" ht="23.25" customHeight="1" x14ac:dyDescent="0.25">
      <c r="S419" s="168">
        <v>1655</v>
      </c>
      <c r="T419" s="168" t="s">
        <v>863</v>
      </c>
      <c r="U419" s="167" t="s">
        <v>430</v>
      </c>
      <c r="V419" s="167" t="s">
        <v>432</v>
      </c>
      <c r="W419" s="167" t="s">
        <v>427</v>
      </c>
      <c r="X419" s="167" t="s">
        <v>428</v>
      </c>
      <c r="Y419" s="167" t="s">
        <v>426</v>
      </c>
      <c r="Z419" s="167" t="s">
        <v>431</v>
      </c>
      <c r="AA419" s="167" t="s">
        <v>435</v>
      </c>
      <c r="AB419" s="169" t="s">
        <v>436</v>
      </c>
    </row>
    <row r="420" spans="19:28" ht="23.25" customHeight="1" x14ac:dyDescent="0.25">
      <c r="S420" s="168">
        <v>2423</v>
      </c>
      <c r="T420" s="168" t="s">
        <v>864</v>
      </c>
      <c r="U420" s="167" t="s">
        <v>430</v>
      </c>
      <c r="V420" s="167" t="s">
        <v>432</v>
      </c>
      <c r="W420" s="167" t="s">
        <v>427</v>
      </c>
      <c r="X420" s="167" t="s">
        <v>428</v>
      </c>
      <c r="Y420" s="167" t="s">
        <v>426</v>
      </c>
      <c r="Z420" s="167" t="s">
        <v>431</v>
      </c>
      <c r="AA420" s="167" t="s">
        <v>437</v>
      </c>
      <c r="AB420" s="169" t="s">
        <v>434</v>
      </c>
    </row>
    <row r="421" spans="19:28" ht="23.25" customHeight="1" x14ac:dyDescent="0.25">
      <c r="S421" s="168">
        <v>1399</v>
      </c>
      <c r="T421" s="168" t="s">
        <v>865</v>
      </c>
      <c r="U421" s="167" t="s">
        <v>430</v>
      </c>
      <c r="V421" s="167" t="s">
        <v>432</v>
      </c>
      <c r="W421" s="167" t="s">
        <v>427</v>
      </c>
      <c r="X421" s="167" t="s">
        <v>428</v>
      </c>
      <c r="Y421" s="167" t="s">
        <v>426</v>
      </c>
      <c r="Z421" s="167" t="s">
        <v>431</v>
      </c>
      <c r="AA421" s="167" t="s">
        <v>434</v>
      </c>
      <c r="AB421" s="169" t="s">
        <v>436</v>
      </c>
    </row>
    <row r="422" spans="19:28" ht="23.25" customHeight="1" x14ac:dyDescent="0.25">
      <c r="S422" s="168">
        <v>887</v>
      </c>
      <c r="T422" s="168" t="s">
        <v>866</v>
      </c>
      <c r="U422" s="167" t="s">
        <v>430</v>
      </c>
      <c r="V422" s="167" t="s">
        <v>432</v>
      </c>
      <c r="W422" s="167" t="s">
        <v>427</v>
      </c>
      <c r="X422" s="167" t="s">
        <v>428</v>
      </c>
      <c r="Y422" s="167" t="s">
        <v>426</v>
      </c>
      <c r="Z422" s="167" t="s">
        <v>431</v>
      </c>
      <c r="AA422" s="167" t="s">
        <v>434</v>
      </c>
      <c r="AB422" s="169" t="s">
        <v>435</v>
      </c>
    </row>
    <row r="423" spans="19:28" ht="23.25" customHeight="1" x14ac:dyDescent="0.25">
      <c r="S423" s="168">
        <v>2295</v>
      </c>
      <c r="T423" s="168" t="s">
        <v>867</v>
      </c>
      <c r="U423" s="167" t="s">
        <v>433</v>
      </c>
      <c r="V423" s="167" t="s">
        <v>432</v>
      </c>
      <c r="W423" s="167" t="s">
        <v>427</v>
      </c>
      <c r="X423" s="167" t="s">
        <v>428</v>
      </c>
      <c r="Y423" s="167" t="s">
        <v>426</v>
      </c>
      <c r="Z423" s="167" t="s">
        <v>431</v>
      </c>
      <c r="AA423" s="167" t="s">
        <v>437</v>
      </c>
      <c r="AB423" s="169" t="s">
        <v>430</v>
      </c>
    </row>
    <row r="424" spans="19:28" ht="23.25" customHeight="1" x14ac:dyDescent="0.25">
      <c r="S424" s="168">
        <v>1271</v>
      </c>
      <c r="T424" s="168" t="s">
        <v>868</v>
      </c>
      <c r="U424" s="167" t="s">
        <v>433</v>
      </c>
      <c r="V424" s="167" t="s">
        <v>432</v>
      </c>
      <c r="W424" s="167" t="s">
        <v>427</v>
      </c>
      <c r="X424" s="167" t="s">
        <v>428</v>
      </c>
      <c r="Y424" s="167" t="s">
        <v>426</v>
      </c>
      <c r="Z424" s="167" t="s">
        <v>431</v>
      </c>
      <c r="AA424" s="167" t="s">
        <v>430</v>
      </c>
      <c r="AB424" s="169" t="s">
        <v>436</v>
      </c>
    </row>
    <row r="425" spans="19:28" ht="23.25" customHeight="1" x14ac:dyDescent="0.25">
      <c r="S425" s="168">
        <v>759</v>
      </c>
      <c r="T425" s="168" t="s">
        <v>869</v>
      </c>
      <c r="U425" s="167" t="s">
        <v>433</v>
      </c>
      <c r="V425" s="167" t="s">
        <v>432</v>
      </c>
      <c r="W425" s="167" t="s">
        <v>427</v>
      </c>
      <c r="X425" s="167" t="s">
        <v>428</v>
      </c>
      <c r="Y425" s="167" t="s">
        <v>426</v>
      </c>
      <c r="Z425" s="167" t="s">
        <v>431</v>
      </c>
      <c r="AA425" s="167" t="s">
        <v>430</v>
      </c>
      <c r="AB425" s="169" t="s">
        <v>435</v>
      </c>
    </row>
    <row r="426" spans="19:28" ht="23.25" customHeight="1" x14ac:dyDescent="0.25">
      <c r="S426" s="168">
        <v>503</v>
      </c>
      <c r="T426" s="168" t="s">
        <v>870</v>
      </c>
      <c r="U426" s="167" t="s">
        <v>433</v>
      </c>
      <c r="V426" s="167" t="s">
        <v>432</v>
      </c>
      <c r="W426" s="167" t="s">
        <v>427</v>
      </c>
      <c r="X426" s="167" t="s">
        <v>428</v>
      </c>
      <c r="Y426" s="167" t="s">
        <v>426</v>
      </c>
      <c r="Z426" s="167" t="s">
        <v>431</v>
      </c>
      <c r="AA426" s="167" t="s">
        <v>430</v>
      </c>
      <c r="AB426" s="169" t="s">
        <v>434</v>
      </c>
    </row>
    <row r="427" spans="19:28" ht="23.25" customHeight="1" x14ac:dyDescent="0.25">
      <c r="S427" s="168">
        <v>3855</v>
      </c>
      <c r="T427" s="168" t="s">
        <v>871</v>
      </c>
      <c r="U427" s="167" t="s">
        <v>434</v>
      </c>
      <c r="V427" s="167" t="s">
        <v>435</v>
      </c>
      <c r="W427" s="167" t="s">
        <v>427</v>
      </c>
      <c r="X427" s="167" t="s">
        <v>428</v>
      </c>
      <c r="Y427" s="167" t="s">
        <v>426</v>
      </c>
      <c r="Z427" s="167" t="s">
        <v>429</v>
      </c>
      <c r="AA427" s="167" t="s">
        <v>437</v>
      </c>
      <c r="AB427" s="169" t="s">
        <v>436</v>
      </c>
    </row>
    <row r="428" spans="19:28" ht="23.25" customHeight="1" x14ac:dyDescent="0.25">
      <c r="S428" s="168">
        <v>3727</v>
      </c>
      <c r="T428" s="168" t="s">
        <v>872</v>
      </c>
      <c r="U428" s="167" t="s">
        <v>433</v>
      </c>
      <c r="V428" s="167" t="s">
        <v>435</v>
      </c>
      <c r="W428" s="167" t="s">
        <v>427</v>
      </c>
      <c r="X428" s="167" t="s">
        <v>428</v>
      </c>
      <c r="Y428" s="167" t="s">
        <v>426</v>
      </c>
      <c r="Z428" s="167" t="s">
        <v>429</v>
      </c>
      <c r="AA428" s="167" t="s">
        <v>437</v>
      </c>
      <c r="AB428" s="169" t="s">
        <v>436</v>
      </c>
    </row>
    <row r="429" spans="19:28" ht="23.25" customHeight="1" x14ac:dyDescent="0.25">
      <c r="S429" s="168">
        <v>3471</v>
      </c>
      <c r="T429" s="168" t="s">
        <v>873</v>
      </c>
      <c r="U429" s="167" t="s">
        <v>433</v>
      </c>
      <c r="V429" s="167" t="s">
        <v>434</v>
      </c>
      <c r="W429" s="167" t="s">
        <v>427</v>
      </c>
      <c r="X429" s="167" t="s">
        <v>428</v>
      </c>
      <c r="Y429" s="167" t="s">
        <v>426</v>
      </c>
      <c r="Z429" s="167" t="s">
        <v>429</v>
      </c>
      <c r="AA429" s="167" t="s">
        <v>437</v>
      </c>
      <c r="AB429" s="169" t="s">
        <v>436</v>
      </c>
    </row>
    <row r="430" spans="19:28" ht="23.25" customHeight="1" x14ac:dyDescent="0.25">
      <c r="S430" s="168">
        <v>2959</v>
      </c>
      <c r="T430" s="168" t="s">
        <v>874</v>
      </c>
      <c r="U430" s="167" t="s">
        <v>433</v>
      </c>
      <c r="V430" s="167" t="s">
        <v>435</v>
      </c>
      <c r="W430" s="167" t="s">
        <v>427</v>
      </c>
      <c r="X430" s="167" t="s">
        <v>428</v>
      </c>
      <c r="Y430" s="167" t="s">
        <v>426</v>
      </c>
      <c r="Z430" s="167" t="s">
        <v>429</v>
      </c>
      <c r="AA430" s="167" t="s">
        <v>437</v>
      </c>
      <c r="AB430" s="169" t="s">
        <v>434</v>
      </c>
    </row>
    <row r="431" spans="19:28" ht="23.25" customHeight="1" x14ac:dyDescent="0.25">
      <c r="S431" s="168">
        <v>1935</v>
      </c>
      <c r="T431" s="168" t="s">
        <v>875</v>
      </c>
      <c r="U431" s="167" t="s">
        <v>433</v>
      </c>
      <c r="V431" s="167" t="s">
        <v>435</v>
      </c>
      <c r="W431" s="167" t="s">
        <v>427</v>
      </c>
      <c r="X431" s="167" t="s">
        <v>428</v>
      </c>
      <c r="Y431" s="167" t="s">
        <v>426</v>
      </c>
      <c r="Z431" s="167" t="s">
        <v>429</v>
      </c>
      <c r="AA431" s="167" t="s">
        <v>434</v>
      </c>
      <c r="AB431" s="169" t="s">
        <v>436</v>
      </c>
    </row>
    <row r="432" spans="19:28" ht="23.25" customHeight="1" x14ac:dyDescent="0.25">
      <c r="S432" s="168">
        <v>3663</v>
      </c>
      <c r="T432" s="168" t="s">
        <v>876</v>
      </c>
      <c r="U432" s="167" t="s">
        <v>428</v>
      </c>
      <c r="V432" s="167" t="s">
        <v>435</v>
      </c>
      <c r="W432" s="167" t="s">
        <v>427</v>
      </c>
      <c r="X432" s="167" t="s">
        <v>429</v>
      </c>
      <c r="Y432" s="167" t="s">
        <v>426</v>
      </c>
      <c r="Z432" s="167" t="s">
        <v>432</v>
      </c>
      <c r="AA432" s="167" t="s">
        <v>437</v>
      </c>
      <c r="AB432" s="169" t="s">
        <v>436</v>
      </c>
    </row>
    <row r="433" spans="19:28" ht="23.25" customHeight="1" x14ac:dyDescent="0.25">
      <c r="S433" s="168">
        <v>3407</v>
      </c>
      <c r="T433" s="168" t="s">
        <v>877</v>
      </c>
      <c r="U433" s="167" t="s">
        <v>434</v>
      </c>
      <c r="V433" s="167" t="s">
        <v>432</v>
      </c>
      <c r="W433" s="167" t="s">
        <v>427</v>
      </c>
      <c r="X433" s="167" t="s">
        <v>428</v>
      </c>
      <c r="Y433" s="167" t="s">
        <v>426</v>
      </c>
      <c r="Z433" s="167" t="s">
        <v>429</v>
      </c>
      <c r="AA433" s="167" t="s">
        <v>437</v>
      </c>
      <c r="AB433" s="169" t="s">
        <v>436</v>
      </c>
    </row>
    <row r="434" spans="19:28" ht="23.25" customHeight="1" x14ac:dyDescent="0.25">
      <c r="S434" s="168">
        <v>2895</v>
      </c>
      <c r="T434" s="168" t="s">
        <v>878</v>
      </c>
      <c r="U434" s="167" t="s">
        <v>428</v>
      </c>
      <c r="V434" s="167" t="s">
        <v>435</v>
      </c>
      <c r="W434" s="167" t="s">
        <v>427</v>
      </c>
      <c r="X434" s="167" t="s">
        <v>429</v>
      </c>
      <c r="Y434" s="167" t="s">
        <v>426</v>
      </c>
      <c r="Z434" s="167" t="s">
        <v>432</v>
      </c>
      <c r="AA434" s="167" t="s">
        <v>437</v>
      </c>
      <c r="AB434" s="169" t="s">
        <v>434</v>
      </c>
    </row>
    <row r="435" spans="19:28" ht="23.25" customHeight="1" x14ac:dyDescent="0.25">
      <c r="S435" s="168">
        <v>1871</v>
      </c>
      <c r="T435" s="168" t="s">
        <v>879</v>
      </c>
      <c r="U435" s="167" t="s">
        <v>428</v>
      </c>
      <c r="V435" s="167" t="s">
        <v>435</v>
      </c>
      <c r="W435" s="167" t="s">
        <v>427</v>
      </c>
      <c r="X435" s="167" t="s">
        <v>429</v>
      </c>
      <c r="Y435" s="167" t="s">
        <v>426</v>
      </c>
      <c r="Z435" s="167" t="s">
        <v>432</v>
      </c>
      <c r="AA435" s="167" t="s">
        <v>434</v>
      </c>
      <c r="AB435" s="169" t="s">
        <v>436</v>
      </c>
    </row>
    <row r="436" spans="19:28" ht="23.25" customHeight="1" x14ac:dyDescent="0.25">
      <c r="S436" s="168">
        <v>3279</v>
      </c>
      <c r="T436" s="168" t="s">
        <v>880</v>
      </c>
      <c r="U436" s="167" t="s">
        <v>433</v>
      </c>
      <c r="V436" s="167" t="s">
        <v>432</v>
      </c>
      <c r="W436" s="167" t="s">
        <v>427</v>
      </c>
      <c r="X436" s="167" t="s">
        <v>428</v>
      </c>
      <c r="Y436" s="167" t="s">
        <v>426</v>
      </c>
      <c r="Z436" s="167" t="s">
        <v>429</v>
      </c>
      <c r="AA436" s="167" t="s">
        <v>437</v>
      </c>
      <c r="AB436" s="169" t="s">
        <v>436</v>
      </c>
    </row>
    <row r="437" spans="19:28" ht="23.25" customHeight="1" x14ac:dyDescent="0.25">
      <c r="S437" s="168">
        <v>2767</v>
      </c>
      <c r="T437" s="168" t="s">
        <v>881</v>
      </c>
      <c r="U437" s="167" t="s">
        <v>433</v>
      </c>
      <c r="V437" s="167" t="s">
        <v>432</v>
      </c>
      <c r="W437" s="167" t="s">
        <v>427</v>
      </c>
      <c r="X437" s="167" t="s">
        <v>428</v>
      </c>
      <c r="Y437" s="167" t="s">
        <v>426</v>
      </c>
      <c r="Z437" s="167" t="s">
        <v>429</v>
      </c>
      <c r="AA437" s="167" t="s">
        <v>437</v>
      </c>
      <c r="AB437" s="169" t="s">
        <v>435</v>
      </c>
    </row>
    <row r="438" spans="19:28" ht="23.25" customHeight="1" x14ac:dyDescent="0.25">
      <c r="S438" s="168">
        <v>1743</v>
      </c>
      <c r="T438" s="168" t="s">
        <v>882</v>
      </c>
      <c r="U438" s="167" t="s">
        <v>433</v>
      </c>
      <c r="V438" s="167" t="s">
        <v>432</v>
      </c>
      <c r="W438" s="167" t="s">
        <v>427</v>
      </c>
      <c r="X438" s="167" t="s">
        <v>428</v>
      </c>
      <c r="Y438" s="167" t="s">
        <v>426</v>
      </c>
      <c r="Z438" s="167" t="s">
        <v>429</v>
      </c>
      <c r="AA438" s="167" t="s">
        <v>435</v>
      </c>
      <c r="AB438" s="169" t="s">
        <v>436</v>
      </c>
    </row>
    <row r="439" spans="19:28" ht="23.25" customHeight="1" x14ac:dyDescent="0.25">
      <c r="S439" s="168">
        <v>2511</v>
      </c>
      <c r="T439" s="168" t="s">
        <v>883</v>
      </c>
      <c r="U439" s="167" t="s">
        <v>433</v>
      </c>
      <c r="V439" s="167" t="s">
        <v>432</v>
      </c>
      <c r="W439" s="167" t="s">
        <v>427</v>
      </c>
      <c r="X439" s="167" t="s">
        <v>428</v>
      </c>
      <c r="Y439" s="167" t="s">
        <v>426</v>
      </c>
      <c r="Z439" s="167" t="s">
        <v>429</v>
      </c>
      <c r="AA439" s="167" t="s">
        <v>437</v>
      </c>
      <c r="AB439" s="169" t="s">
        <v>434</v>
      </c>
    </row>
    <row r="440" spans="19:28" ht="23.25" customHeight="1" x14ac:dyDescent="0.25">
      <c r="S440" s="168">
        <v>1487</v>
      </c>
      <c r="T440" s="168" t="s">
        <v>884</v>
      </c>
      <c r="U440" s="167" t="s">
        <v>433</v>
      </c>
      <c r="V440" s="167" t="s">
        <v>432</v>
      </c>
      <c r="W440" s="167" t="s">
        <v>427</v>
      </c>
      <c r="X440" s="167" t="s">
        <v>428</v>
      </c>
      <c r="Y440" s="167" t="s">
        <v>426</v>
      </c>
      <c r="Z440" s="167" t="s">
        <v>429</v>
      </c>
      <c r="AA440" s="167" t="s">
        <v>434</v>
      </c>
      <c r="AB440" s="169" t="s">
        <v>436</v>
      </c>
    </row>
    <row r="441" spans="19:28" ht="23.25" customHeight="1" x14ac:dyDescent="0.25">
      <c r="S441" s="168">
        <v>975</v>
      </c>
      <c r="T441" s="168" t="s">
        <v>885</v>
      </c>
      <c r="U441" s="167" t="s">
        <v>433</v>
      </c>
      <c r="V441" s="167" t="s">
        <v>432</v>
      </c>
      <c r="W441" s="167" t="s">
        <v>427</v>
      </c>
      <c r="X441" s="167" t="s">
        <v>428</v>
      </c>
      <c r="Y441" s="167" t="s">
        <v>426</v>
      </c>
      <c r="Z441" s="167" t="s">
        <v>429</v>
      </c>
      <c r="AA441" s="167" t="s">
        <v>434</v>
      </c>
      <c r="AB441" s="169" t="s">
        <v>435</v>
      </c>
    </row>
    <row r="442" spans="19:28" ht="23.25" customHeight="1" x14ac:dyDescent="0.25">
      <c r="S442" s="168">
        <v>3631</v>
      </c>
      <c r="T442" s="168" t="s">
        <v>886</v>
      </c>
      <c r="U442" s="167" t="s">
        <v>428</v>
      </c>
      <c r="V442" s="167" t="s">
        <v>435</v>
      </c>
      <c r="W442" s="167" t="s">
        <v>427</v>
      </c>
      <c r="X442" s="167" t="s">
        <v>429</v>
      </c>
      <c r="Y442" s="167" t="s">
        <v>426</v>
      </c>
      <c r="Z442" s="167" t="s">
        <v>431</v>
      </c>
      <c r="AA442" s="167" t="s">
        <v>437</v>
      </c>
      <c r="AB442" s="169" t="s">
        <v>436</v>
      </c>
    </row>
    <row r="443" spans="19:28" ht="23.25" customHeight="1" x14ac:dyDescent="0.25">
      <c r="S443" s="168">
        <v>3375</v>
      </c>
      <c r="T443" s="168" t="s">
        <v>887</v>
      </c>
      <c r="U443" s="167" t="s">
        <v>428</v>
      </c>
      <c r="V443" s="167" t="s">
        <v>434</v>
      </c>
      <c r="W443" s="167" t="s">
        <v>427</v>
      </c>
      <c r="X443" s="167" t="s">
        <v>429</v>
      </c>
      <c r="Y443" s="167" t="s">
        <v>426</v>
      </c>
      <c r="Z443" s="167" t="s">
        <v>431</v>
      </c>
      <c r="AA443" s="167" t="s">
        <v>437</v>
      </c>
      <c r="AB443" s="169" t="s">
        <v>436</v>
      </c>
    </row>
    <row r="444" spans="19:28" ht="23.25" customHeight="1" x14ac:dyDescent="0.25">
      <c r="S444" s="168">
        <v>2863</v>
      </c>
      <c r="T444" s="168" t="s">
        <v>888</v>
      </c>
      <c r="U444" s="167" t="s">
        <v>428</v>
      </c>
      <c r="V444" s="167" t="s">
        <v>435</v>
      </c>
      <c r="W444" s="167" t="s">
        <v>427</v>
      </c>
      <c r="X444" s="167" t="s">
        <v>429</v>
      </c>
      <c r="Y444" s="167" t="s">
        <v>426</v>
      </c>
      <c r="Z444" s="167" t="s">
        <v>431</v>
      </c>
      <c r="AA444" s="167" t="s">
        <v>437</v>
      </c>
      <c r="AB444" s="169" t="s">
        <v>434</v>
      </c>
    </row>
    <row r="445" spans="19:28" ht="23.25" customHeight="1" x14ac:dyDescent="0.25">
      <c r="S445" s="168">
        <v>1839</v>
      </c>
      <c r="T445" s="168" t="s">
        <v>889</v>
      </c>
      <c r="U445" s="167" t="s">
        <v>428</v>
      </c>
      <c r="V445" s="167" t="s">
        <v>435</v>
      </c>
      <c r="W445" s="167" t="s">
        <v>427</v>
      </c>
      <c r="X445" s="167" t="s">
        <v>429</v>
      </c>
      <c r="Y445" s="167" t="s">
        <v>426</v>
      </c>
      <c r="Z445" s="167" t="s">
        <v>431</v>
      </c>
      <c r="AA445" s="167" t="s">
        <v>434</v>
      </c>
      <c r="AB445" s="169" t="s">
        <v>436</v>
      </c>
    </row>
    <row r="446" spans="19:28" ht="23.25" customHeight="1" x14ac:dyDescent="0.25">
      <c r="S446" s="168">
        <v>3247</v>
      </c>
      <c r="T446" s="168" t="s">
        <v>890</v>
      </c>
      <c r="U446" s="167" t="s">
        <v>433</v>
      </c>
      <c r="V446" s="167" t="s">
        <v>431</v>
      </c>
      <c r="W446" s="167" t="s">
        <v>427</v>
      </c>
      <c r="X446" s="167" t="s">
        <v>428</v>
      </c>
      <c r="Y446" s="167" t="s">
        <v>426</v>
      </c>
      <c r="Z446" s="167" t="s">
        <v>429</v>
      </c>
      <c r="AA446" s="167" t="s">
        <v>437</v>
      </c>
      <c r="AB446" s="169" t="s">
        <v>436</v>
      </c>
    </row>
    <row r="447" spans="19:28" ht="23.25" customHeight="1" x14ac:dyDescent="0.25">
      <c r="S447" s="168">
        <v>2735</v>
      </c>
      <c r="T447" s="168" t="s">
        <v>891</v>
      </c>
      <c r="U447" s="167" t="s">
        <v>428</v>
      </c>
      <c r="V447" s="167" t="s">
        <v>435</v>
      </c>
      <c r="W447" s="167" t="s">
        <v>427</v>
      </c>
      <c r="X447" s="167" t="s">
        <v>429</v>
      </c>
      <c r="Y447" s="167" t="s">
        <v>426</v>
      </c>
      <c r="Z447" s="167" t="s">
        <v>431</v>
      </c>
      <c r="AA447" s="167" t="s">
        <v>437</v>
      </c>
      <c r="AB447" s="169" t="s">
        <v>433</v>
      </c>
    </row>
    <row r="448" spans="19:28" ht="23.25" customHeight="1" x14ac:dyDescent="0.25">
      <c r="S448" s="168">
        <v>1711</v>
      </c>
      <c r="T448" s="168" t="s">
        <v>892</v>
      </c>
      <c r="U448" s="167" t="s">
        <v>433</v>
      </c>
      <c r="V448" s="167" t="s">
        <v>435</v>
      </c>
      <c r="W448" s="167" t="s">
        <v>427</v>
      </c>
      <c r="X448" s="167" t="s">
        <v>428</v>
      </c>
      <c r="Y448" s="167" t="s">
        <v>426</v>
      </c>
      <c r="Z448" s="167" t="s">
        <v>431</v>
      </c>
      <c r="AA448" s="167" t="s">
        <v>429</v>
      </c>
      <c r="AB448" s="169" t="s">
        <v>436</v>
      </c>
    </row>
    <row r="449" spans="19:28" ht="23.25" customHeight="1" x14ac:dyDescent="0.25">
      <c r="S449" s="168">
        <v>2479</v>
      </c>
      <c r="T449" s="168" t="s">
        <v>893</v>
      </c>
      <c r="U449" s="167" t="s">
        <v>433</v>
      </c>
      <c r="V449" s="167" t="s">
        <v>431</v>
      </c>
      <c r="W449" s="167" t="s">
        <v>427</v>
      </c>
      <c r="X449" s="167" t="s">
        <v>428</v>
      </c>
      <c r="Y449" s="167" t="s">
        <v>426</v>
      </c>
      <c r="Z449" s="167" t="s">
        <v>429</v>
      </c>
      <c r="AA449" s="167" t="s">
        <v>437</v>
      </c>
      <c r="AB449" s="169" t="s">
        <v>434</v>
      </c>
    </row>
    <row r="450" spans="19:28" ht="23.25" customHeight="1" x14ac:dyDescent="0.25">
      <c r="S450" s="168">
        <v>1455</v>
      </c>
      <c r="T450" s="168" t="s">
        <v>894</v>
      </c>
      <c r="U450" s="167" t="s">
        <v>433</v>
      </c>
      <c r="V450" s="167" t="s">
        <v>431</v>
      </c>
      <c r="W450" s="167" t="s">
        <v>427</v>
      </c>
      <c r="X450" s="167" t="s">
        <v>428</v>
      </c>
      <c r="Y450" s="167" t="s">
        <v>426</v>
      </c>
      <c r="Z450" s="167" t="s">
        <v>429</v>
      </c>
      <c r="AA450" s="167" t="s">
        <v>434</v>
      </c>
      <c r="AB450" s="169" t="s">
        <v>436</v>
      </c>
    </row>
    <row r="451" spans="19:28" ht="23.25" customHeight="1" x14ac:dyDescent="0.25">
      <c r="S451" s="168">
        <v>943</v>
      </c>
      <c r="T451" s="168" t="s">
        <v>895</v>
      </c>
      <c r="U451" s="167" t="s">
        <v>433</v>
      </c>
      <c r="V451" s="167" t="s">
        <v>435</v>
      </c>
      <c r="W451" s="167" t="s">
        <v>427</v>
      </c>
      <c r="X451" s="167" t="s">
        <v>428</v>
      </c>
      <c r="Y451" s="167" t="s">
        <v>426</v>
      </c>
      <c r="Z451" s="167" t="s">
        <v>431</v>
      </c>
      <c r="AA451" s="167" t="s">
        <v>429</v>
      </c>
      <c r="AB451" s="169" t="s">
        <v>434</v>
      </c>
    </row>
    <row r="452" spans="19:28" ht="23.25" customHeight="1" x14ac:dyDescent="0.25">
      <c r="S452" s="168">
        <v>3183</v>
      </c>
      <c r="T452" s="168" t="s">
        <v>896</v>
      </c>
      <c r="U452" s="167" t="s">
        <v>428</v>
      </c>
      <c r="V452" s="167" t="s">
        <v>432</v>
      </c>
      <c r="W452" s="167" t="s">
        <v>427</v>
      </c>
      <c r="X452" s="167" t="s">
        <v>429</v>
      </c>
      <c r="Y452" s="167" t="s">
        <v>426</v>
      </c>
      <c r="Z452" s="167" t="s">
        <v>431</v>
      </c>
      <c r="AA452" s="167" t="s">
        <v>437</v>
      </c>
      <c r="AB452" s="169" t="s">
        <v>436</v>
      </c>
    </row>
    <row r="453" spans="19:28" ht="23.25" customHeight="1" x14ac:dyDescent="0.25">
      <c r="S453" s="168">
        <v>2671</v>
      </c>
      <c r="T453" s="168" t="s">
        <v>897</v>
      </c>
      <c r="U453" s="167" t="s">
        <v>428</v>
      </c>
      <c r="V453" s="167" t="s">
        <v>432</v>
      </c>
      <c r="W453" s="167" t="s">
        <v>427</v>
      </c>
      <c r="X453" s="167" t="s">
        <v>429</v>
      </c>
      <c r="Y453" s="167" t="s">
        <v>426</v>
      </c>
      <c r="Z453" s="167" t="s">
        <v>431</v>
      </c>
      <c r="AA453" s="167" t="s">
        <v>437</v>
      </c>
      <c r="AB453" s="169" t="s">
        <v>435</v>
      </c>
    </row>
    <row r="454" spans="19:28" ht="23.25" customHeight="1" x14ac:dyDescent="0.25">
      <c r="S454" s="168">
        <v>1647</v>
      </c>
      <c r="T454" s="168" t="s">
        <v>898</v>
      </c>
      <c r="U454" s="167" t="s">
        <v>428</v>
      </c>
      <c r="V454" s="167" t="s">
        <v>432</v>
      </c>
      <c r="W454" s="167" t="s">
        <v>427</v>
      </c>
      <c r="X454" s="167" t="s">
        <v>429</v>
      </c>
      <c r="Y454" s="167" t="s">
        <v>426</v>
      </c>
      <c r="Z454" s="167" t="s">
        <v>431</v>
      </c>
      <c r="AA454" s="167" t="s">
        <v>435</v>
      </c>
      <c r="AB454" s="169" t="s">
        <v>436</v>
      </c>
    </row>
    <row r="455" spans="19:28" ht="23.25" customHeight="1" x14ac:dyDescent="0.25">
      <c r="S455" s="168">
        <v>2415</v>
      </c>
      <c r="T455" s="168" t="s">
        <v>899</v>
      </c>
      <c r="U455" s="167" t="s">
        <v>428</v>
      </c>
      <c r="V455" s="167" t="s">
        <v>432</v>
      </c>
      <c r="W455" s="167" t="s">
        <v>427</v>
      </c>
      <c r="X455" s="167" t="s">
        <v>429</v>
      </c>
      <c r="Y455" s="167" t="s">
        <v>426</v>
      </c>
      <c r="Z455" s="167" t="s">
        <v>431</v>
      </c>
      <c r="AA455" s="167" t="s">
        <v>437</v>
      </c>
      <c r="AB455" s="169" t="s">
        <v>434</v>
      </c>
    </row>
    <row r="456" spans="19:28" ht="23.25" customHeight="1" x14ac:dyDescent="0.25">
      <c r="S456" s="168">
        <v>1391</v>
      </c>
      <c r="T456" s="168" t="s">
        <v>900</v>
      </c>
      <c r="U456" s="167" t="s">
        <v>428</v>
      </c>
      <c r="V456" s="167" t="s">
        <v>432</v>
      </c>
      <c r="W456" s="167" t="s">
        <v>427</v>
      </c>
      <c r="X456" s="167" t="s">
        <v>429</v>
      </c>
      <c r="Y456" s="167" t="s">
        <v>426</v>
      </c>
      <c r="Z456" s="167" t="s">
        <v>431</v>
      </c>
      <c r="AA456" s="167" t="s">
        <v>434</v>
      </c>
      <c r="AB456" s="169" t="s">
        <v>436</v>
      </c>
    </row>
    <row r="457" spans="19:28" ht="23.25" customHeight="1" x14ac:dyDescent="0.25">
      <c r="S457" s="168">
        <v>879</v>
      </c>
      <c r="T457" s="168" t="s">
        <v>901</v>
      </c>
      <c r="U457" s="167" t="s">
        <v>428</v>
      </c>
      <c r="V457" s="167" t="s">
        <v>432</v>
      </c>
      <c r="W457" s="167" t="s">
        <v>427</v>
      </c>
      <c r="X457" s="167" t="s">
        <v>429</v>
      </c>
      <c r="Y457" s="167" t="s">
        <v>426</v>
      </c>
      <c r="Z457" s="167" t="s">
        <v>431</v>
      </c>
      <c r="AA457" s="167" t="s">
        <v>434</v>
      </c>
      <c r="AB457" s="169" t="s">
        <v>435</v>
      </c>
    </row>
    <row r="458" spans="19:28" ht="23.25" customHeight="1" x14ac:dyDescent="0.25">
      <c r="S458" s="168">
        <v>2287</v>
      </c>
      <c r="T458" s="168" t="s">
        <v>902</v>
      </c>
      <c r="U458" s="167" t="s">
        <v>428</v>
      </c>
      <c r="V458" s="167" t="s">
        <v>432</v>
      </c>
      <c r="W458" s="167" t="s">
        <v>427</v>
      </c>
      <c r="X458" s="167" t="s">
        <v>429</v>
      </c>
      <c r="Y458" s="167" t="s">
        <v>426</v>
      </c>
      <c r="Z458" s="167" t="s">
        <v>431</v>
      </c>
      <c r="AA458" s="167" t="s">
        <v>437</v>
      </c>
      <c r="AB458" s="169" t="s">
        <v>433</v>
      </c>
    </row>
    <row r="459" spans="19:28" ht="23.25" customHeight="1" x14ac:dyDescent="0.25">
      <c r="S459" s="168">
        <v>1263</v>
      </c>
      <c r="T459" s="168" t="s">
        <v>903</v>
      </c>
      <c r="U459" s="167" t="s">
        <v>433</v>
      </c>
      <c r="V459" s="167" t="s">
        <v>432</v>
      </c>
      <c r="W459" s="167" t="s">
        <v>427</v>
      </c>
      <c r="X459" s="167" t="s">
        <v>428</v>
      </c>
      <c r="Y459" s="167" t="s">
        <v>426</v>
      </c>
      <c r="Z459" s="167" t="s">
        <v>431</v>
      </c>
      <c r="AA459" s="167" t="s">
        <v>429</v>
      </c>
      <c r="AB459" s="169" t="s">
        <v>436</v>
      </c>
    </row>
    <row r="460" spans="19:28" ht="23.25" customHeight="1" x14ac:dyDescent="0.25">
      <c r="S460" s="168">
        <v>751</v>
      </c>
      <c r="T460" s="168" t="s">
        <v>904</v>
      </c>
      <c r="U460" s="167" t="s">
        <v>433</v>
      </c>
      <c r="V460" s="167" t="s">
        <v>432</v>
      </c>
      <c r="W460" s="167" t="s">
        <v>427</v>
      </c>
      <c r="X460" s="167" t="s">
        <v>428</v>
      </c>
      <c r="Y460" s="167" t="s">
        <v>426</v>
      </c>
      <c r="Z460" s="167" t="s">
        <v>431</v>
      </c>
      <c r="AA460" s="167" t="s">
        <v>429</v>
      </c>
      <c r="AB460" s="169" t="s">
        <v>435</v>
      </c>
    </row>
    <row r="461" spans="19:28" ht="23.25" customHeight="1" x14ac:dyDescent="0.25">
      <c r="S461" s="168">
        <v>495</v>
      </c>
      <c r="T461" s="168" t="s">
        <v>905</v>
      </c>
      <c r="U461" s="167" t="s">
        <v>433</v>
      </c>
      <c r="V461" s="167" t="s">
        <v>432</v>
      </c>
      <c r="W461" s="167" t="s">
        <v>427</v>
      </c>
      <c r="X461" s="167" t="s">
        <v>428</v>
      </c>
      <c r="Y461" s="167" t="s">
        <v>426</v>
      </c>
      <c r="Z461" s="167" t="s">
        <v>431</v>
      </c>
      <c r="AA461" s="167" t="s">
        <v>429</v>
      </c>
      <c r="AB461" s="169" t="s">
        <v>434</v>
      </c>
    </row>
    <row r="462" spans="19:28" ht="23.25" customHeight="1" x14ac:dyDescent="0.25">
      <c r="S462" s="168">
        <v>3615</v>
      </c>
      <c r="T462" s="168" t="s">
        <v>906</v>
      </c>
      <c r="U462" s="167" t="s">
        <v>430</v>
      </c>
      <c r="V462" s="167" t="s">
        <v>435</v>
      </c>
      <c r="W462" s="167" t="s">
        <v>427</v>
      </c>
      <c r="X462" s="167" t="s">
        <v>428</v>
      </c>
      <c r="Y462" s="167" t="s">
        <v>426</v>
      </c>
      <c r="Z462" s="167" t="s">
        <v>429</v>
      </c>
      <c r="AA462" s="167" t="s">
        <v>437</v>
      </c>
      <c r="AB462" s="169" t="s">
        <v>436</v>
      </c>
    </row>
    <row r="463" spans="19:28" ht="23.25" customHeight="1" x14ac:dyDescent="0.25">
      <c r="S463" s="168">
        <v>3359</v>
      </c>
      <c r="T463" s="168" t="s">
        <v>907</v>
      </c>
      <c r="U463" s="167" t="s">
        <v>430</v>
      </c>
      <c r="V463" s="167" t="s">
        <v>434</v>
      </c>
      <c r="W463" s="167" t="s">
        <v>427</v>
      </c>
      <c r="X463" s="167" t="s">
        <v>428</v>
      </c>
      <c r="Y463" s="167" t="s">
        <v>426</v>
      </c>
      <c r="Z463" s="167" t="s">
        <v>429</v>
      </c>
      <c r="AA463" s="167" t="s">
        <v>437</v>
      </c>
      <c r="AB463" s="169" t="s">
        <v>436</v>
      </c>
    </row>
    <row r="464" spans="19:28" ht="23.25" customHeight="1" x14ac:dyDescent="0.25">
      <c r="S464" s="168">
        <v>2847</v>
      </c>
      <c r="T464" s="168" t="s">
        <v>908</v>
      </c>
      <c r="U464" s="167" t="s">
        <v>430</v>
      </c>
      <c r="V464" s="167" t="s">
        <v>435</v>
      </c>
      <c r="W464" s="167" t="s">
        <v>427</v>
      </c>
      <c r="X464" s="167" t="s">
        <v>428</v>
      </c>
      <c r="Y464" s="167" t="s">
        <v>426</v>
      </c>
      <c r="Z464" s="167" t="s">
        <v>429</v>
      </c>
      <c r="AA464" s="167" t="s">
        <v>437</v>
      </c>
      <c r="AB464" s="169" t="s">
        <v>434</v>
      </c>
    </row>
    <row r="465" spans="19:28" ht="23.25" customHeight="1" x14ac:dyDescent="0.25">
      <c r="S465" s="168">
        <v>1823</v>
      </c>
      <c r="T465" s="168" t="s">
        <v>909</v>
      </c>
      <c r="U465" s="167" t="s">
        <v>430</v>
      </c>
      <c r="V465" s="167" t="s">
        <v>435</v>
      </c>
      <c r="W465" s="167" t="s">
        <v>427</v>
      </c>
      <c r="X465" s="167" t="s">
        <v>428</v>
      </c>
      <c r="Y465" s="167" t="s">
        <v>426</v>
      </c>
      <c r="Z465" s="167" t="s">
        <v>429</v>
      </c>
      <c r="AA465" s="167" t="s">
        <v>434</v>
      </c>
      <c r="AB465" s="169" t="s">
        <v>436</v>
      </c>
    </row>
    <row r="466" spans="19:28" ht="23.25" customHeight="1" x14ac:dyDescent="0.25">
      <c r="S466" s="168">
        <v>3231</v>
      </c>
      <c r="T466" s="168" t="s">
        <v>910</v>
      </c>
      <c r="U466" s="167" t="s">
        <v>433</v>
      </c>
      <c r="V466" s="167" t="s">
        <v>430</v>
      </c>
      <c r="W466" s="167" t="s">
        <v>427</v>
      </c>
      <c r="X466" s="167" t="s">
        <v>428</v>
      </c>
      <c r="Y466" s="167" t="s">
        <v>426</v>
      </c>
      <c r="Z466" s="167" t="s">
        <v>429</v>
      </c>
      <c r="AA466" s="167" t="s">
        <v>437</v>
      </c>
      <c r="AB466" s="169" t="s">
        <v>436</v>
      </c>
    </row>
    <row r="467" spans="19:28" ht="23.25" customHeight="1" x14ac:dyDescent="0.25">
      <c r="S467" s="168">
        <v>2719</v>
      </c>
      <c r="T467" s="168" t="s">
        <v>911</v>
      </c>
      <c r="U467" s="167" t="s">
        <v>433</v>
      </c>
      <c r="V467" s="167" t="s">
        <v>435</v>
      </c>
      <c r="W467" s="167" t="s">
        <v>427</v>
      </c>
      <c r="X467" s="167" t="s">
        <v>428</v>
      </c>
      <c r="Y467" s="167" t="s">
        <v>426</v>
      </c>
      <c r="Z467" s="167" t="s">
        <v>429</v>
      </c>
      <c r="AA467" s="167" t="s">
        <v>437</v>
      </c>
      <c r="AB467" s="169" t="s">
        <v>430</v>
      </c>
    </row>
    <row r="468" spans="19:28" ht="23.25" customHeight="1" x14ac:dyDescent="0.25">
      <c r="S468" s="168">
        <v>1695</v>
      </c>
      <c r="T468" s="168" t="s">
        <v>912</v>
      </c>
      <c r="U468" s="167" t="s">
        <v>433</v>
      </c>
      <c r="V468" s="167" t="s">
        <v>435</v>
      </c>
      <c r="W468" s="167" t="s">
        <v>427</v>
      </c>
      <c r="X468" s="167" t="s">
        <v>428</v>
      </c>
      <c r="Y468" s="167" t="s">
        <v>426</v>
      </c>
      <c r="Z468" s="167" t="s">
        <v>429</v>
      </c>
      <c r="AA468" s="167" t="s">
        <v>430</v>
      </c>
      <c r="AB468" s="169" t="s">
        <v>436</v>
      </c>
    </row>
    <row r="469" spans="19:28" ht="23.25" customHeight="1" x14ac:dyDescent="0.25">
      <c r="S469" s="168">
        <v>2463</v>
      </c>
      <c r="T469" s="168" t="s">
        <v>913</v>
      </c>
      <c r="U469" s="167" t="s">
        <v>433</v>
      </c>
      <c r="V469" s="167" t="s">
        <v>430</v>
      </c>
      <c r="W469" s="167" t="s">
        <v>427</v>
      </c>
      <c r="X469" s="167" t="s">
        <v>428</v>
      </c>
      <c r="Y469" s="167" t="s">
        <v>426</v>
      </c>
      <c r="Z469" s="167" t="s">
        <v>429</v>
      </c>
      <c r="AA469" s="167" t="s">
        <v>437</v>
      </c>
      <c r="AB469" s="169" t="s">
        <v>434</v>
      </c>
    </row>
    <row r="470" spans="19:28" ht="23.25" customHeight="1" x14ac:dyDescent="0.25">
      <c r="S470" s="168">
        <v>1439</v>
      </c>
      <c r="T470" s="168" t="s">
        <v>914</v>
      </c>
      <c r="U470" s="167" t="s">
        <v>433</v>
      </c>
      <c r="V470" s="167" t="s">
        <v>430</v>
      </c>
      <c r="W470" s="167" t="s">
        <v>427</v>
      </c>
      <c r="X470" s="167" t="s">
        <v>428</v>
      </c>
      <c r="Y470" s="167" t="s">
        <v>426</v>
      </c>
      <c r="Z470" s="167" t="s">
        <v>429</v>
      </c>
      <c r="AA470" s="167" t="s">
        <v>434</v>
      </c>
      <c r="AB470" s="169" t="s">
        <v>436</v>
      </c>
    </row>
    <row r="471" spans="19:28" ht="23.25" customHeight="1" x14ac:dyDescent="0.25">
      <c r="S471" s="168">
        <v>927</v>
      </c>
      <c r="T471" s="168" t="s">
        <v>915</v>
      </c>
      <c r="U471" s="167" t="s">
        <v>433</v>
      </c>
      <c r="V471" s="167" t="s">
        <v>435</v>
      </c>
      <c r="W471" s="167" t="s">
        <v>427</v>
      </c>
      <c r="X471" s="167" t="s">
        <v>428</v>
      </c>
      <c r="Y471" s="167" t="s">
        <v>426</v>
      </c>
      <c r="Z471" s="167" t="s">
        <v>429</v>
      </c>
      <c r="AA471" s="167" t="s">
        <v>430</v>
      </c>
      <c r="AB471" s="169" t="s">
        <v>434</v>
      </c>
    </row>
    <row r="472" spans="19:28" ht="23.25" customHeight="1" x14ac:dyDescent="0.25">
      <c r="S472" s="168">
        <v>3167</v>
      </c>
      <c r="T472" s="168" t="s">
        <v>916</v>
      </c>
      <c r="U472" s="167" t="s">
        <v>430</v>
      </c>
      <c r="V472" s="167" t="s">
        <v>432</v>
      </c>
      <c r="W472" s="167" t="s">
        <v>427</v>
      </c>
      <c r="X472" s="167" t="s">
        <v>428</v>
      </c>
      <c r="Y472" s="167" t="s">
        <v>426</v>
      </c>
      <c r="Z472" s="167" t="s">
        <v>429</v>
      </c>
      <c r="AA472" s="167" t="s">
        <v>437</v>
      </c>
      <c r="AB472" s="169" t="s">
        <v>436</v>
      </c>
    </row>
    <row r="473" spans="19:28" ht="23.25" customHeight="1" x14ac:dyDescent="0.25">
      <c r="S473" s="168">
        <v>2655</v>
      </c>
      <c r="T473" s="168" t="s">
        <v>917</v>
      </c>
      <c r="U473" s="167" t="s">
        <v>430</v>
      </c>
      <c r="V473" s="167" t="s">
        <v>432</v>
      </c>
      <c r="W473" s="167" t="s">
        <v>427</v>
      </c>
      <c r="X473" s="167" t="s">
        <v>428</v>
      </c>
      <c r="Y473" s="167" t="s">
        <v>426</v>
      </c>
      <c r="Z473" s="167" t="s">
        <v>429</v>
      </c>
      <c r="AA473" s="167" t="s">
        <v>437</v>
      </c>
      <c r="AB473" s="169" t="s">
        <v>435</v>
      </c>
    </row>
    <row r="474" spans="19:28" ht="23.25" customHeight="1" x14ac:dyDescent="0.25">
      <c r="S474" s="168">
        <v>1631</v>
      </c>
      <c r="T474" s="168" t="s">
        <v>918</v>
      </c>
      <c r="U474" s="167" t="s">
        <v>430</v>
      </c>
      <c r="V474" s="167" t="s">
        <v>432</v>
      </c>
      <c r="W474" s="167" t="s">
        <v>427</v>
      </c>
      <c r="X474" s="167" t="s">
        <v>428</v>
      </c>
      <c r="Y474" s="167" t="s">
        <v>426</v>
      </c>
      <c r="Z474" s="167" t="s">
        <v>429</v>
      </c>
      <c r="AA474" s="167" t="s">
        <v>435</v>
      </c>
      <c r="AB474" s="169" t="s">
        <v>436</v>
      </c>
    </row>
    <row r="475" spans="19:28" ht="23.25" customHeight="1" x14ac:dyDescent="0.25">
      <c r="S475" s="168">
        <v>2399</v>
      </c>
      <c r="T475" s="168" t="s">
        <v>919</v>
      </c>
      <c r="U475" s="167" t="s">
        <v>430</v>
      </c>
      <c r="V475" s="167" t="s">
        <v>432</v>
      </c>
      <c r="W475" s="167" t="s">
        <v>427</v>
      </c>
      <c r="X475" s="167" t="s">
        <v>428</v>
      </c>
      <c r="Y475" s="167" t="s">
        <v>426</v>
      </c>
      <c r="Z475" s="167" t="s">
        <v>429</v>
      </c>
      <c r="AA475" s="167" t="s">
        <v>437</v>
      </c>
      <c r="AB475" s="169" t="s">
        <v>434</v>
      </c>
    </row>
    <row r="476" spans="19:28" ht="23.25" customHeight="1" x14ac:dyDescent="0.25">
      <c r="S476" s="168">
        <v>1375</v>
      </c>
      <c r="T476" s="168" t="s">
        <v>920</v>
      </c>
      <c r="U476" s="167" t="s">
        <v>430</v>
      </c>
      <c r="V476" s="167" t="s">
        <v>432</v>
      </c>
      <c r="W476" s="167" t="s">
        <v>427</v>
      </c>
      <c r="X476" s="167" t="s">
        <v>428</v>
      </c>
      <c r="Y476" s="167" t="s">
        <v>426</v>
      </c>
      <c r="Z476" s="167" t="s">
        <v>429</v>
      </c>
      <c r="AA476" s="167" t="s">
        <v>434</v>
      </c>
      <c r="AB476" s="169" t="s">
        <v>436</v>
      </c>
    </row>
    <row r="477" spans="19:28" ht="23.25" customHeight="1" x14ac:dyDescent="0.25">
      <c r="S477" s="168">
        <v>863</v>
      </c>
      <c r="T477" s="168" t="s">
        <v>921</v>
      </c>
      <c r="U477" s="167" t="s">
        <v>430</v>
      </c>
      <c r="V477" s="167" t="s">
        <v>432</v>
      </c>
      <c r="W477" s="167" t="s">
        <v>427</v>
      </c>
      <c r="X477" s="167" t="s">
        <v>428</v>
      </c>
      <c r="Y477" s="167" t="s">
        <v>426</v>
      </c>
      <c r="Z477" s="167" t="s">
        <v>429</v>
      </c>
      <c r="AA477" s="167" t="s">
        <v>434</v>
      </c>
      <c r="AB477" s="169" t="s">
        <v>435</v>
      </c>
    </row>
    <row r="478" spans="19:28" ht="23.25" customHeight="1" x14ac:dyDescent="0.25">
      <c r="S478" s="168">
        <v>2271</v>
      </c>
      <c r="T478" s="168" t="s">
        <v>922</v>
      </c>
      <c r="U478" s="167" t="s">
        <v>433</v>
      </c>
      <c r="V478" s="167" t="s">
        <v>432</v>
      </c>
      <c r="W478" s="167" t="s">
        <v>427</v>
      </c>
      <c r="X478" s="167" t="s">
        <v>428</v>
      </c>
      <c r="Y478" s="167" t="s">
        <v>426</v>
      </c>
      <c r="Z478" s="167" t="s">
        <v>429</v>
      </c>
      <c r="AA478" s="167" t="s">
        <v>437</v>
      </c>
      <c r="AB478" s="169" t="s">
        <v>430</v>
      </c>
    </row>
    <row r="479" spans="19:28" ht="23.25" customHeight="1" x14ac:dyDescent="0.25">
      <c r="S479" s="168">
        <v>1247</v>
      </c>
      <c r="T479" s="168" t="s">
        <v>923</v>
      </c>
      <c r="U479" s="167" t="s">
        <v>433</v>
      </c>
      <c r="V479" s="167" t="s">
        <v>432</v>
      </c>
      <c r="W479" s="167" t="s">
        <v>427</v>
      </c>
      <c r="X479" s="167" t="s">
        <v>428</v>
      </c>
      <c r="Y479" s="167" t="s">
        <v>426</v>
      </c>
      <c r="Z479" s="167" t="s">
        <v>429</v>
      </c>
      <c r="AA479" s="167" t="s">
        <v>430</v>
      </c>
      <c r="AB479" s="169" t="s">
        <v>436</v>
      </c>
    </row>
    <row r="480" spans="19:28" ht="23.25" customHeight="1" x14ac:dyDescent="0.25">
      <c r="S480" s="168">
        <v>735</v>
      </c>
      <c r="T480" s="168" t="s">
        <v>924</v>
      </c>
      <c r="U480" s="167" t="s">
        <v>433</v>
      </c>
      <c r="V480" s="167" t="s">
        <v>432</v>
      </c>
      <c r="W480" s="167" t="s">
        <v>427</v>
      </c>
      <c r="X480" s="167" t="s">
        <v>428</v>
      </c>
      <c r="Y480" s="167" t="s">
        <v>426</v>
      </c>
      <c r="Z480" s="167" t="s">
        <v>429</v>
      </c>
      <c r="AA480" s="167" t="s">
        <v>430</v>
      </c>
      <c r="AB480" s="169" t="s">
        <v>435</v>
      </c>
    </row>
    <row r="481" spans="19:28" ht="23.25" customHeight="1" x14ac:dyDescent="0.25">
      <c r="S481" s="168">
        <v>479</v>
      </c>
      <c r="T481" s="168" t="s">
        <v>925</v>
      </c>
      <c r="U481" s="167" t="s">
        <v>433</v>
      </c>
      <c r="V481" s="167" t="s">
        <v>432</v>
      </c>
      <c r="W481" s="167" t="s">
        <v>427</v>
      </c>
      <c r="X481" s="167" t="s">
        <v>428</v>
      </c>
      <c r="Y481" s="167" t="s">
        <v>426</v>
      </c>
      <c r="Z481" s="167" t="s">
        <v>429</v>
      </c>
      <c r="AA481" s="167" t="s">
        <v>430</v>
      </c>
      <c r="AB481" s="169" t="s">
        <v>434</v>
      </c>
    </row>
    <row r="482" spans="19:28" ht="23.25" customHeight="1" x14ac:dyDescent="0.25">
      <c r="S482" s="168">
        <v>3135</v>
      </c>
      <c r="T482" s="168" t="s">
        <v>926</v>
      </c>
      <c r="U482" s="167" t="s">
        <v>428</v>
      </c>
      <c r="V482" s="167" t="s">
        <v>430</v>
      </c>
      <c r="W482" s="167" t="s">
        <v>427</v>
      </c>
      <c r="X482" s="167" t="s">
        <v>429</v>
      </c>
      <c r="Y482" s="167" t="s">
        <v>426</v>
      </c>
      <c r="Z482" s="167" t="s">
        <v>431</v>
      </c>
      <c r="AA482" s="167" t="s">
        <v>437</v>
      </c>
      <c r="AB482" s="169" t="s">
        <v>436</v>
      </c>
    </row>
    <row r="483" spans="19:28" ht="23.25" customHeight="1" x14ac:dyDescent="0.25">
      <c r="S483" s="168">
        <v>2623</v>
      </c>
      <c r="T483" s="168" t="s">
        <v>927</v>
      </c>
      <c r="U483" s="167" t="s">
        <v>428</v>
      </c>
      <c r="V483" s="167" t="s">
        <v>435</v>
      </c>
      <c r="W483" s="167" t="s">
        <v>427</v>
      </c>
      <c r="X483" s="167" t="s">
        <v>429</v>
      </c>
      <c r="Y483" s="167" t="s">
        <v>426</v>
      </c>
      <c r="Z483" s="167" t="s">
        <v>431</v>
      </c>
      <c r="AA483" s="167" t="s">
        <v>437</v>
      </c>
      <c r="AB483" s="169" t="s">
        <v>430</v>
      </c>
    </row>
    <row r="484" spans="19:28" ht="23.25" customHeight="1" x14ac:dyDescent="0.25">
      <c r="S484" s="168">
        <v>1599</v>
      </c>
      <c r="T484" s="168" t="s">
        <v>928</v>
      </c>
      <c r="U484" s="167" t="s">
        <v>428</v>
      </c>
      <c r="V484" s="167" t="s">
        <v>435</v>
      </c>
      <c r="W484" s="167" t="s">
        <v>427</v>
      </c>
      <c r="X484" s="167" t="s">
        <v>429</v>
      </c>
      <c r="Y484" s="167" t="s">
        <v>426</v>
      </c>
      <c r="Z484" s="167" t="s">
        <v>431</v>
      </c>
      <c r="AA484" s="167" t="s">
        <v>430</v>
      </c>
      <c r="AB484" s="169" t="s">
        <v>436</v>
      </c>
    </row>
    <row r="485" spans="19:28" ht="23.25" customHeight="1" x14ac:dyDescent="0.25">
      <c r="S485" s="168">
        <v>2367</v>
      </c>
      <c r="T485" s="168" t="s">
        <v>929</v>
      </c>
      <c r="U485" s="167" t="s">
        <v>428</v>
      </c>
      <c r="V485" s="167" t="s">
        <v>430</v>
      </c>
      <c r="W485" s="167" t="s">
        <v>427</v>
      </c>
      <c r="X485" s="167" t="s">
        <v>429</v>
      </c>
      <c r="Y485" s="167" t="s">
        <v>426</v>
      </c>
      <c r="Z485" s="167" t="s">
        <v>431</v>
      </c>
      <c r="AA485" s="167" t="s">
        <v>437</v>
      </c>
      <c r="AB485" s="169" t="s">
        <v>434</v>
      </c>
    </row>
    <row r="486" spans="19:28" ht="23.25" customHeight="1" x14ac:dyDescent="0.25">
      <c r="S486" s="168">
        <v>1343</v>
      </c>
      <c r="T486" s="168" t="s">
        <v>930</v>
      </c>
      <c r="U486" s="167" t="s">
        <v>428</v>
      </c>
      <c r="V486" s="167" t="s">
        <v>430</v>
      </c>
      <c r="W486" s="167" t="s">
        <v>427</v>
      </c>
      <c r="X486" s="167" t="s">
        <v>429</v>
      </c>
      <c r="Y486" s="167" t="s">
        <v>426</v>
      </c>
      <c r="Z486" s="167" t="s">
        <v>431</v>
      </c>
      <c r="AA486" s="167" t="s">
        <v>434</v>
      </c>
      <c r="AB486" s="169" t="s">
        <v>436</v>
      </c>
    </row>
    <row r="487" spans="19:28" ht="23.25" customHeight="1" x14ac:dyDescent="0.25">
      <c r="S487" s="168">
        <v>831</v>
      </c>
      <c r="T487" s="168" t="s">
        <v>931</v>
      </c>
      <c r="U487" s="167" t="s">
        <v>428</v>
      </c>
      <c r="V487" s="167" t="s">
        <v>435</v>
      </c>
      <c r="W487" s="167" t="s">
        <v>427</v>
      </c>
      <c r="X487" s="167" t="s">
        <v>429</v>
      </c>
      <c r="Y487" s="167" t="s">
        <v>426</v>
      </c>
      <c r="Z487" s="167" t="s">
        <v>431</v>
      </c>
      <c r="AA487" s="167" t="s">
        <v>430</v>
      </c>
      <c r="AB487" s="169" t="s">
        <v>434</v>
      </c>
    </row>
    <row r="488" spans="19:28" ht="23.25" customHeight="1" x14ac:dyDescent="0.25">
      <c r="S488" s="168">
        <v>2239</v>
      </c>
      <c r="T488" s="168" t="s">
        <v>932</v>
      </c>
      <c r="U488" s="167" t="s">
        <v>433</v>
      </c>
      <c r="V488" s="167" t="s">
        <v>431</v>
      </c>
      <c r="W488" s="167" t="s">
        <v>427</v>
      </c>
      <c r="X488" s="167" t="s">
        <v>428</v>
      </c>
      <c r="Y488" s="167" t="s">
        <v>426</v>
      </c>
      <c r="Z488" s="167" t="s">
        <v>429</v>
      </c>
      <c r="AA488" s="167" t="s">
        <v>437</v>
      </c>
      <c r="AB488" s="169" t="s">
        <v>430</v>
      </c>
    </row>
    <row r="489" spans="19:28" ht="23.25" customHeight="1" x14ac:dyDescent="0.25">
      <c r="S489" s="168">
        <v>1215</v>
      </c>
      <c r="T489" s="168" t="s">
        <v>933</v>
      </c>
      <c r="U489" s="167" t="s">
        <v>433</v>
      </c>
      <c r="V489" s="167" t="s">
        <v>430</v>
      </c>
      <c r="W489" s="167" t="s">
        <v>427</v>
      </c>
      <c r="X489" s="167" t="s">
        <v>428</v>
      </c>
      <c r="Y489" s="167" t="s">
        <v>426</v>
      </c>
      <c r="Z489" s="167" t="s">
        <v>431</v>
      </c>
      <c r="AA489" s="167" t="s">
        <v>429</v>
      </c>
      <c r="AB489" s="169" t="s">
        <v>436</v>
      </c>
    </row>
    <row r="490" spans="19:28" ht="23.25" customHeight="1" x14ac:dyDescent="0.25">
      <c r="S490" s="168">
        <v>703</v>
      </c>
      <c r="T490" s="168" t="s">
        <v>934</v>
      </c>
      <c r="U490" s="167" t="s">
        <v>433</v>
      </c>
      <c r="V490" s="167" t="s">
        <v>435</v>
      </c>
      <c r="W490" s="167" t="s">
        <v>427</v>
      </c>
      <c r="X490" s="167" t="s">
        <v>428</v>
      </c>
      <c r="Y490" s="167" t="s">
        <v>426</v>
      </c>
      <c r="Z490" s="167" t="s">
        <v>431</v>
      </c>
      <c r="AA490" s="167" t="s">
        <v>429</v>
      </c>
      <c r="AB490" s="169" t="s">
        <v>430</v>
      </c>
    </row>
    <row r="491" spans="19:28" ht="23.25" customHeight="1" x14ac:dyDescent="0.25">
      <c r="S491" s="168">
        <v>447</v>
      </c>
      <c r="T491" s="168" t="s">
        <v>935</v>
      </c>
      <c r="U491" s="167" t="s">
        <v>433</v>
      </c>
      <c r="V491" s="167" t="s">
        <v>430</v>
      </c>
      <c r="W491" s="167" t="s">
        <v>427</v>
      </c>
      <c r="X491" s="167" t="s">
        <v>428</v>
      </c>
      <c r="Y491" s="167" t="s">
        <v>426</v>
      </c>
      <c r="Z491" s="167" t="s">
        <v>431</v>
      </c>
      <c r="AA491" s="167" t="s">
        <v>429</v>
      </c>
      <c r="AB491" s="169" t="s">
        <v>434</v>
      </c>
    </row>
    <row r="492" spans="19:28" ht="23.25" customHeight="1" x14ac:dyDescent="0.25">
      <c r="S492" s="168">
        <v>2175</v>
      </c>
      <c r="T492" s="168" t="s">
        <v>936</v>
      </c>
      <c r="U492" s="167" t="s">
        <v>428</v>
      </c>
      <c r="V492" s="167" t="s">
        <v>432</v>
      </c>
      <c r="W492" s="167" t="s">
        <v>427</v>
      </c>
      <c r="X492" s="167" t="s">
        <v>429</v>
      </c>
      <c r="Y492" s="167" t="s">
        <v>426</v>
      </c>
      <c r="Z492" s="167" t="s">
        <v>431</v>
      </c>
      <c r="AA492" s="167" t="s">
        <v>437</v>
      </c>
      <c r="AB492" s="169" t="s">
        <v>430</v>
      </c>
    </row>
    <row r="493" spans="19:28" ht="23.25" customHeight="1" x14ac:dyDescent="0.25">
      <c r="S493" s="168">
        <v>1151</v>
      </c>
      <c r="T493" s="168" t="s">
        <v>937</v>
      </c>
      <c r="U493" s="167" t="s">
        <v>428</v>
      </c>
      <c r="V493" s="167" t="s">
        <v>432</v>
      </c>
      <c r="W493" s="167" t="s">
        <v>427</v>
      </c>
      <c r="X493" s="167" t="s">
        <v>429</v>
      </c>
      <c r="Y493" s="167" t="s">
        <v>426</v>
      </c>
      <c r="Z493" s="167" t="s">
        <v>431</v>
      </c>
      <c r="AA493" s="167" t="s">
        <v>430</v>
      </c>
      <c r="AB493" s="169" t="s">
        <v>436</v>
      </c>
    </row>
    <row r="494" spans="19:28" ht="23.25" customHeight="1" x14ac:dyDescent="0.25">
      <c r="S494" s="168">
        <v>639</v>
      </c>
      <c r="T494" s="168" t="s">
        <v>938</v>
      </c>
      <c r="U494" s="167" t="s">
        <v>428</v>
      </c>
      <c r="V494" s="167" t="s">
        <v>432</v>
      </c>
      <c r="W494" s="167" t="s">
        <v>427</v>
      </c>
      <c r="X494" s="167" t="s">
        <v>429</v>
      </c>
      <c r="Y494" s="167" t="s">
        <v>426</v>
      </c>
      <c r="Z494" s="167" t="s">
        <v>431</v>
      </c>
      <c r="AA494" s="167" t="s">
        <v>430</v>
      </c>
      <c r="AB494" s="169" t="s">
        <v>435</v>
      </c>
    </row>
    <row r="495" spans="19:28" ht="23.25" customHeight="1" x14ac:dyDescent="0.25">
      <c r="S495" s="168">
        <v>383</v>
      </c>
      <c r="T495" s="168" t="s">
        <v>939</v>
      </c>
      <c r="U495" s="167" t="s">
        <v>428</v>
      </c>
      <c r="V495" s="167" t="s">
        <v>432</v>
      </c>
      <c r="W495" s="167" t="s">
        <v>427</v>
      </c>
      <c r="X495" s="167" t="s">
        <v>429</v>
      </c>
      <c r="Y495" s="167" t="s">
        <v>426</v>
      </c>
      <c r="Z495" s="167" t="s">
        <v>431</v>
      </c>
      <c r="AA495" s="167" t="s">
        <v>430</v>
      </c>
      <c r="AB495" s="169" t="s">
        <v>434</v>
      </c>
    </row>
    <row r="496" spans="19:28" ht="23.25" customHeight="1" x14ac:dyDescent="0.25">
      <c r="S496" s="170">
        <v>255</v>
      </c>
      <c r="T496" s="170" t="s">
        <v>940</v>
      </c>
      <c r="U496" s="171" t="s">
        <v>433</v>
      </c>
      <c r="V496" s="171" t="s">
        <v>432</v>
      </c>
      <c r="W496" s="171" t="s">
        <v>427</v>
      </c>
      <c r="X496" s="171" t="s">
        <v>428</v>
      </c>
      <c r="Y496" s="171" t="s">
        <v>426</v>
      </c>
      <c r="Z496" s="171" t="s">
        <v>431</v>
      </c>
      <c r="AA496" s="171" t="s">
        <v>429</v>
      </c>
      <c r="AB496" s="172" t="s">
        <v>430</v>
      </c>
    </row>
  </sheetData>
  <sheetProtection algorithmName="SHA-512" hashValue="INFiKOD1M6QlF8I6lpcie8xCweBG6AtBHVk7mhsVjq8Fi/BQfI7oEYn+iXQ7h21PppKzXpstQ9qshJ7uRmi51A==" saltValue="QPgDYvI9CqikrFD4TvzeZg==" spinCount="100000" sheet="1" objects="1" scenarios="1"/>
  <phoneticPr fontId="25" type="noConversion"/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4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2" width="5" hidden="1" customWidth="1"/>
    <col min="53" max="53" width="2" hidden="1" customWidth="1"/>
    <col min="54" max="55" width="6" hidden="1" customWidth="1"/>
    <col min="56" max="56" width="2" hidden="1" customWidth="1"/>
    <col min="57" max="57" width="8.5703125" hidden="1" customWidth="1"/>
    <col min="58" max="58" width="2" hidden="1" customWidth="1"/>
    <col min="59" max="59" width="8.5703125" hidden="1" customWidth="1"/>
    <col min="60" max="60" width="4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>
        <f>IFERROR(K8+K20+I24,0)</f>
        <v>0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D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Z2" s="4"/>
      <c r="AA2" s="4"/>
      <c r="AB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D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Z3" s="4"/>
      <c r="AB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D3" s="4"/>
    </row>
    <row r="4" spans="1:60" ht="15" customHeight="1" x14ac:dyDescent="0.25">
      <c r="BB4" s="4"/>
      <c r="BC4" s="4"/>
      <c r="BD4" s="4"/>
    </row>
    <row r="5" spans="1:60" ht="18" customHeight="1" x14ac:dyDescent="0.25">
      <c r="B5" s="25" t="s">
        <v>61</v>
      </c>
      <c r="BB5" s="4"/>
      <c r="BC5" s="4"/>
      <c r="BD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0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0</v>
      </c>
      <c r="AY6" s="147"/>
      <c r="BB6" s="147">
        <f>(BB10=BB15)+(BB15=BB20)+(BB20=BB25)+(BB10=BB20)+(BB15=BB25)+(BB10=BB25)</f>
        <v>0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1</v>
      </c>
      <c r="B8" s="196">
        <v>1</v>
      </c>
      <c r="C8" s="195">
        <f>VLOOKUP(A8,tDatos[],IF(UTCElegido="",3,12),0)</f>
        <v>46184</v>
      </c>
      <c r="D8" s="197">
        <f>VLOOKUP(A8,tDatos[],IF(UTCElegido="",4,12),0)</f>
        <v>0.625</v>
      </c>
      <c r="E8" s="18"/>
      <c r="F8" s="198" t="str">
        <f>VLOOKUP(A8,tDatos[],5,0)</f>
        <v>MÉXICO</v>
      </c>
      <c r="G8" s="192" t="str">
        <f>IF(OR(I8="",K8=""),"",IF(I8=K8,"E",IF(I8&gt;K8,"G","P")))</f>
        <v>G</v>
      </c>
      <c r="H8" s="20"/>
      <c r="I8" s="238">
        <f>IF(Ingreso!G9="","",Ingreso!G9)</f>
        <v>2</v>
      </c>
      <c r="J8" s="237" t="s">
        <v>0</v>
      </c>
      <c r="K8" s="238">
        <f>IF(Ingreso!J9="","",Ingreso!J9)</f>
        <v>0</v>
      </c>
      <c r="L8" s="192" t="str">
        <f>IF(OR(K8="",I8=""),"",IF(K8=I8,"E",IF(K8&gt;I8,"G","P")))</f>
        <v>P</v>
      </c>
      <c r="M8" s="19"/>
      <c r="N8" s="193" t="str">
        <f>VLOOKUP(A8,tDatos[],6,0)</f>
        <v>SUDÁFRICA</v>
      </c>
      <c r="O8" s="18"/>
      <c r="P8" s="218" t="str">
        <f>VLOOKUP(A8,tDatos[],9,0)</f>
        <v>Ciudad de México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MÉXICOSUDÁFRICA</v>
      </c>
      <c r="AS8" s="148" t="str">
        <f>IF(I8&gt;K8,F8,IF(K8&gt;I8,N8,""))</f>
        <v>MÉXICO</v>
      </c>
      <c r="AT8" s="149">
        <f>I8</f>
        <v>2</v>
      </c>
      <c r="AU8" s="149">
        <f>K8</f>
        <v>0</v>
      </c>
      <c r="AV8" s="149">
        <f>AT8-AU8</f>
        <v>2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39"/>
      <c r="J9" s="237"/>
      <c r="K9" s="239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SUDÁFRICAMÉXICO</v>
      </c>
      <c r="AS9" s="148" t="str">
        <f>IF(I8&gt;K8,F8,IF(K8&gt;I8,N8,""))</f>
        <v>MÉXICO</v>
      </c>
      <c r="AT9" s="149">
        <f>K8</f>
        <v>0</v>
      </c>
      <c r="AU9" s="149">
        <f>I8</f>
        <v>2</v>
      </c>
      <c r="AV9" s="149">
        <f>AT9-AU9</f>
        <v>-2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MÉXICO</v>
      </c>
      <c r="S10" s="266"/>
      <c r="T10" s="266"/>
      <c r="U10" s="267"/>
      <c r="V10" s="274">
        <f>VLOOKUP(1,$AE$10:$AG$29,3,0)</f>
        <v>3</v>
      </c>
      <c r="W10" s="246">
        <f>VLOOKUP(1,$AE$10:$AH$29,4,0)</f>
        <v>3</v>
      </c>
      <c r="X10" s="246">
        <f>VLOOKUP(1,$AE$10:$AI$29,5,0)</f>
        <v>0</v>
      </c>
      <c r="Y10" s="246">
        <f>VLOOKUP(1,$AE$10:$AJ$29,6,0)</f>
        <v>0</v>
      </c>
      <c r="Z10" s="246">
        <f>VLOOKUP(1,$AE$10:$AK$29,7,0)</f>
        <v>6</v>
      </c>
      <c r="AA10" s="246">
        <f>VLOOKUP(1,$AE$10:$AL$29,8,0)</f>
        <v>0</v>
      </c>
      <c r="AB10" s="246">
        <f>Z10-AA10</f>
        <v>6</v>
      </c>
      <c r="AC10" s="275">
        <f>(W10*3)+X10</f>
        <v>9</v>
      </c>
      <c r="AD10" s="223">
        <f>RANK(AO10,$AO$10:$AO$29,0)</f>
        <v>1</v>
      </c>
      <c r="AE10" s="223">
        <f>RANK(AP10,$AP$10:$AP$29,1)</f>
        <v>1</v>
      </c>
      <c r="AF10" s="223" t="str">
        <f>F8</f>
        <v>MÉXICO</v>
      </c>
      <c r="AG10" s="249">
        <f>3-COUNTIF(I32:K32,"")</f>
        <v>3</v>
      </c>
      <c r="AH10" s="223">
        <f>COUNTIF(I32:K32,"G")</f>
        <v>3</v>
      </c>
      <c r="AI10" s="223">
        <f>COUNTIF(I32:K32,"E")</f>
        <v>0</v>
      </c>
      <c r="AJ10" s="223">
        <f>COUNTIF(I32:K32,"P")</f>
        <v>0</v>
      </c>
      <c r="AK10" s="223">
        <f>SUM(I8,I20,K24)</f>
        <v>6</v>
      </c>
      <c r="AL10" s="223">
        <f>SUM(K8,K20,I24)</f>
        <v>0</v>
      </c>
      <c r="AM10" s="223">
        <f>AK10-AL10</f>
        <v>6</v>
      </c>
      <c r="AN10" s="223">
        <f>(AH10*3)+AI10*vcp</f>
        <v>9</v>
      </c>
      <c r="AO10" s="223">
        <f>IF($AO$6&gt;0,AN10*10+3)</f>
        <v>93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MÉXICO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93</v>
      </c>
      <c r="AY10" s="226">
        <f>IF(AND($AO$6&gt;0,$AP$6&gt;0),AN10*10000+AZ10,AO10)</f>
        <v>93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93</v>
      </c>
      <c r="BC10" s="226">
        <f>AX10+BD10+3</f>
        <v>96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93.03</v>
      </c>
      <c r="BF10" s="225">
        <f>RANK(BE10,$BE$10:$BE$29)</f>
        <v>1</v>
      </c>
      <c r="BG10" s="279">
        <f>BE10-0.03</f>
        <v>93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2</v>
      </c>
      <c r="B12" s="196">
        <v>2</v>
      </c>
      <c r="C12" s="195">
        <f>VLOOKUP(A12,tDatos[],IF(UTCElegido="",3,12),0)</f>
        <v>46184</v>
      </c>
      <c r="D12" s="197">
        <f>VLOOKUP(A12,tDatos[],IF(UTCElegido="",4,12),0)</f>
        <v>0.91666666666666663</v>
      </c>
      <c r="E12" s="18"/>
      <c r="F12" s="198" t="str">
        <f>VLOOKUP(A12,tDatos[],5,0)</f>
        <v>COREA del SUR</v>
      </c>
      <c r="G12" s="192" t="str">
        <f>IF(OR(I12="",K12=""),"",IF(I12=K12,"E",IF(I12&gt;K12,"G","P")))</f>
        <v>G</v>
      </c>
      <c r="H12" s="20"/>
      <c r="I12" s="238">
        <f>IF(Ingreso!G15="","",Ingreso!G15)</f>
        <v>2</v>
      </c>
      <c r="J12" s="237" t="s">
        <v>0</v>
      </c>
      <c r="K12" s="238">
        <f>IF(Ingreso!J15="","",Ingreso!J15)</f>
        <v>1</v>
      </c>
      <c r="L12" s="192" t="str">
        <f>IF(OR(K12="",I12=""),"",IF(K12=I12,"E",IF(K12&gt;I12,"G","P")))</f>
        <v>P</v>
      </c>
      <c r="M12" s="19"/>
      <c r="N12" s="193" t="str">
        <f>VLOOKUP(A12,tDatos[],6,0)</f>
        <v>REP. CHECA</v>
      </c>
      <c r="O12" s="18"/>
      <c r="P12" s="218" t="str">
        <f>VLOOKUP(A12,tDatos[],9,0)</f>
        <v>Guadalajara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COREA del SURREP. CHECA</v>
      </c>
      <c r="AS12" s="148" t="str">
        <f>IF(I12&gt;K12,F12,IF(K12&gt;I12,N12,""))</f>
        <v>COREA del SUR</v>
      </c>
      <c r="AT12" s="149">
        <f>I12</f>
        <v>2</v>
      </c>
      <c r="AU12" s="149">
        <f>K12</f>
        <v>1</v>
      </c>
      <c r="AV12" s="149">
        <f>AT12-AU12</f>
        <v>1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39"/>
      <c r="J13" s="237"/>
      <c r="K13" s="239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REP. CHECACOREA del SUR</v>
      </c>
      <c r="AS13" s="148" t="str">
        <f>IF(I12&gt;K12,F12,IF(K12&gt;I12,N12,""))</f>
        <v>COREA del SUR</v>
      </c>
      <c r="AT13" s="149">
        <f>K12</f>
        <v>1</v>
      </c>
      <c r="AU13" s="149">
        <f>I12</f>
        <v>2</v>
      </c>
      <c r="AV13" s="149">
        <f>AT13-AU13</f>
        <v>-1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SUDÁFRICA</v>
      </c>
      <c r="S15" s="266"/>
      <c r="T15" s="266"/>
      <c r="U15" s="267"/>
      <c r="V15" s="274">
        <f>VLOOKUP(2,$AE$10:$AG$29,3,0)</f>
        <v>3</v>
      </c>
      <c r="W15" s="246">
        <f>VLOOKUP(2,$AE$10:$AH$29,4,0)</f>
        <v>1</v>
      </c>
      <c r="X15" s="246">
        <f>VLOOKUP(2,$AE$10:$AI$29,5,0)</f>
        <v>1</v>
      </c>
      <c r="Y15" s="246">
        <f>VLOOKUP(2,$AE$10:$AJ$29,6,0)</f>
        <v>1</v>
      </c>
      <c r="Z15" s="246">
        <f>VLOOKUP(2,$AE$10:$AK$29,7,0)</f>
        <v>2</v>
      </c>
      <c r="AA15" s="246">
        <f>VLOOKUP(2,$AE$10:$AL$29,8,0)</f>
        <v>3</v>
      </c>
      <c r="AB15" s="246">
        <f>Z15-AA15</f>
        <v>-1</v>
      </c>
      <c r="AC15" s="275">
        <f>(W15*3)+X15</f>
        <v>4</v>
      </c>
      <c r="AD15" s="223">
        <f>RANK(AO15,$AO$10:$AO$29,0)</f>
        <v>2</v>
      </c>
      <c r="AE15" s="223">
        <f>RANK(AP15,$AP$10:$AP$29,1)</f>
        <v>2</v>
      </c>
      <c r="AF15" s="223" t="str">
        <f>N8</f>
        <v>SUDÁFRICA</v>
      </c>
      <c r="AG15" s="249">
        <f>3-COUNTIF(I33:K33,"")</f>
        <v>3</v>
      </c>
      <c r="AH15" s="223">
        <f>COUNTIF(I33:K33,"G")</f>
        <v>1</v>
      </c>
      <c r="AI15" s="223">
        <f>COUNTIF(I33:K33,"E")</f>
        <v>1</v>
      </c>
      <c r="AJ15" s="223">
        <f>COUNTIF(I33:K33,"P")</f>
        <v>1</v>
      </c>
      <c r="AK15" s="249">
        <f>SUM(K8,K16,I28)</f>
        <v>2</v>
      </c>
      <c r="AL15" s="223">
        <f>SUM(I8,I16,K28)</f>
        <v>3</v>
      </c>
      <c r="AM15" s="223">
        <f>AK15-AL15</f>
        <v>-1</v>
      </c>
      <c r="AN15" s="223">
        <f>(AH15*3)+AI15*vcp</f>
        <v>4</v>
      </c>
      <c r="AO15" s="223">
        <f>IF($AO$6&gt;0,AN15*10+2)</f>
        <v>42</v>
      </c>
      <c r="AP15" s="223">
        <f>IF(AF15=$R$38,BF15-100,IF(AF15=$R$37,BF15-200,IF(AF15=$R$36,BF15-300,BF15)))</f>
        <v>2</v>
      </c>
      <c r="AQ15" s="223" t="str">
        <f>IF(R37="",IF(SUM($V$10:$V$29)&gt;0,VLOOKUP(2,$AE$10:$AF$29,2,0),""),R37)</f>
        <v>SUDÁFRICA</v>
      </c>
      <c r="AR15" s="151"/>
      <c r="AS15" s="148"/>
      <c r="AT15" s="148"/>
      <c r="AU15" s="148"/>
      <c r="AV15" s="152"/>
      <c r="AW15" s="225">
        <f>RANK(AY15,$AY$10:$AY$29,0)</f>
        <v>2</v>
      </c>
      <c r="AX15" s="226">
        <f>IF(AND($AO$6&gt;0,$AP$6&gt;0),AN15*10000+AZ15,AO15)</f>
        <v>42</v>
      </c>
      <c r="AY15" s="226">
        <f>IF(AND($AO$6&gt;0,$AP$6&gt;0),AN15*10000+AZ15-1,AO15)</f>
        <v>42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2</v>
      </c>
      <c r="BB15" s="225">
        <f>AX15+BD15</f>
        <v>42</v>
      </c>
      <c r="BC15" s="226">
        <f>AX15+BD15+2</f>
        <v>44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42.02</v>
      </c>
      <c r="BF15" s="225">
        <f>RANK(BE15,$BE$10:$BE$29)</f>
        <v>2</v>
      </c>
      <c r="BG15" s="279">
        <f>BE15-0.02</f>
        <v>42</v>
      </c>
      <c r="BH15" s="279">
        <f>COUNTIF($BG$10:$BG$29,BG15)</f>
        <v>1</v>
      </c>
    </row>
    <row r="16" spans="1:60" ht="7.5" customHeight="1" x14ac:dyDescent="0.25">
      <c r="A16" s="229">
        <v>25</v>
      </c>
      <c r="B16" s="196">
        <v>25</v>
      </c>
      <c r="C16" s="195">
        <f>VLOOKUP(A16,tDatos[],IF(UTCElegido="",3,12),0)</f>
        <v>46191</v>
      </c>
      <c r="D16" s="197">
        <f>VLOOKUP(A16,tDatos[],IF(UTCElegido="",4,12),0)</f>
        <v>0.5</v>
      </c>
      <c r="E16" s="18"/>
      <c r="F16" s="198" t="str">
        <f>VLOOKUP(A16,tDatos[],5,0)</f>
        <v>REP. CHECA</v>
      </c>
      <c r="G16" s="192" t="str">
        <f>IF(OR(I16="",K16=""),"",IF(I16=K16,"E",IF(I16&gt;K16,"G","P")))</f>
        <v>E</v>
      </c>
      <c r="H16" s="20"/>
      <c r="I16" s="238">
        <f>IF(Ingreso!G153="","",Ingreso!G153)</f>
        <v>1</v>
      </c>
      <c r="J16" s="237" t="s">
        <v>0</v>
      </c>
      <c r="K16" s="238">
        <f>IF(Ingreso!J153="","",Ingreso!J153)</f>
        <v>1</v>
      </c>
      <c r="L16" s="192" t="str">
        <f>IF(OR(K16="",I16=""),"",IF(K16=I16,"E",IF(K16&gt;I16,"G","P")))</f>
        <v>E</v>
      </c>
      <c r="M16" s="19"/>
      <c r="N16" s="193" t="str">
        <f>VLOOKUP(A16,tDatos[],6,0)</f>
        <v>SUDÁFRICA</v>
      </c>
      <c r="O16" s="18"/>
      <c r="P16" s="218" t="str">
        <f>VLOOKUP(A16,tDatos[],9,0)</f>
        <v>Atlanta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REP. CHECASUDÁFRICA</v>
      </c>
      <c r="AS16" s="148" t="str">
        <f>IF(I16&gt;K16,F16,IF(K16&gt;I16,N16,""))</f>
        <v/>
      </c>
      <c r="AT16" s="149">
        <f>I16</f>
        <v>1</v>
      </c>
      <c r="AU16" s="149">
        <f>K16</f>
        <v>1</v>
      </c>
      <c r="AV16" s="149">
        <f>AT16-AU16</f>
        <v>0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39"/>
      <c r="J17" s="237"/>
      <c r="K17" s="239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SUDÁFRICAREP. CHECA</v>
      </c>
      <c r="AS17" s="148" t="str">
        <f>IF(I16&gt;K16,F16,IF(K16&gt;I16,N16,""))</f>
        <v/>
      </c>
      <c r="AT17" s="149">
        <f>K16</f>
        <v>1</v>
      </c>
      <c r="AU17" s="149">
        <f>I16</f>
        <v>1</v>
      </c>
      <c r="AV17" s="149">
        <f>AT17-AU17</f>
        <v>0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28</v>
      </c>
      <c r="B20" s="196">
        <v>28</v>
      </c>
      <c r="C20" s="195">
        <f>VLOOKUP(A20,tDatos[],IF(UTCElegido="",3,12),0)</f>
        <v>46191</v>
      </c>
      <c r="D20" s="197">
        <f>VLOOKUP(A20,tDatos[],IF(UTCElegido="",4,12),0)</f>
        <v>0.875</v>
      </c>
      <c r="E20" s="18"/>
      <c r="F20" s="198" t="str">
        <f>VLOOKUP(A20,tDatos[],5,0)</f>
        <v>MÉXICO</v>
      </c>
      <c r="G20" s="192" t="str">
        <f>IF(OR(I20="",K20=""),"",IF(I20=K20,"E",IF(I20&gt;K20,"G","P")))</f>
        <v>G</v>
      </c>
      <c r="H20" s="20"/>
      <c r="I20" s="238">
        <f>IF(Ingreso!G171="","",Ingreso!G171)</f>
        <v>1</v>
      </c>
      <c r="J20" s="237" t="s">
        <v>0</v>
      </c>
      <c r="K20" s="238">
        <f>IF(Ingreso!J171="","",Ingreso!J171)</f>
        <v>0</v>
      </c>
      <c r="L20" s="192" t="str">
        <f>IF(OR(K20="",I20=""),"",IF(K20=I20,"E",IF(K20&gt;I20,"G","P")))</f>
        <v>P</v>
      </c>
      <c r="M20" s="19"/>
      <c r="N20" s="193" t="str">
        <f>VLOOKUP(A20,tDatos[],6,0)</f>
        <v>COREA del SUR</v>
      </c>
      <c r="O20" s="18"/>
      <c r="P20" s="218" t="str">
        <f>VLOOKUP(A20,tDatos[],9,0)</f>
        <v>Guadalajara</v>
      </c>
      <c r="R20" s="240" t="str">
        <f>"  3)  " &amp; VLOOKUP(3,$AE$10:$AF$29,2,0)</f>
        <v xml:space="preserve">  3)  COREA del SUR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0</v>
      </c>
      <c r="Y20" s="248">
        <f>VLOOKUP(3,$AE$10:$AJ$29,6,0)</f>
        <v>2</v>
      </c>
      <c r="Z20" s="248">
        <f>VLOOKUP(3,$AE$10:$AK$29,7,0)</f>
        <v>2</v>
      </c>
      <c r="AA20" s="248">
        <f>VLOOKUP(3,$AE$10:$AL$29,8,0)</f>
        <v>3</v>
      </c>
      <c r="AB20" s="247">
        <f>Z20-AA20</f>
        <v>-1</v>
      </c>
      <c r="AC20" s="252">
        <f>(W20*3)+X20</f>
        <v>3</v>
      </c>
      <c r="AD20" s="223">
        <f>RANK(AO20,$AO$10:$AO$29,0)</f>
        <v>3</v>
      </c>
      <c r="AE20" s="223">
        <f>RANK(AP20,$AP$10:$AP$29,1)</f>
        <v>3</v>
      </c>
      <c r="AF20" s="223" t="str">
        <f>F12</f>
        <v>COREA del SUR</v>
      </c>
      <c r="AG20" s="249">
        <f>3-COUNTIF(I34:K34,"")</f>
        <v>3</v>
      </c>
      <c r="AH20" s="223">
        <f>COUNTIF(I34:K34,"G")</f>
        <v>1</v>
      </c>
      <c r="AI20" s="223">
        <f>COUNTIF(I34:K34,"E")</f>
        <v>0</v>
      </c>
      <c r="AJ20" s="223">
        <f>COUNTIF(I34:K34,"P")</f>
        <v>2</v>
      </c>
      <c r="AK20" s="249">
        <f>SUM(I12,K20,K28)</f>
        <v>2</v>
      </c>
      <c r="AL20" s="249">
        <f>SUM(K12,I20,I28)</f>
        <v>3</v>
      </c>
      <c r="AM20" s="223">
        <f>AK20-AL20</f>
        <v>-1</v>
      </c>
      <c r="AN20" s="223">
        <f>(AH20*3)+AI20*vcp</f>
        <v>3</v>
      </c>
      <c r="AO20" s="223">
        <f>IF($AO$6&gt;0,AN20*10+1)</f>
        <v>31</v>
      </c>
      <c r="AP20" s="223">
        <f>IF(AF20=$R$38,BF20-100,IF(AF20=$R$37,BF20-200,IF(AF20=$R$36,BF20-300,BF20)))</f>
        <v>3</v>
      </c>
      <c r="AQ20" s="223" t="str">
        <f>IF(R38="",IF(SUM($V$10:$V$29)&gt;0,VLOOKUP(3,$AE$10:$AF$29,2,0),""),R38)</f>
        <v>COREA del SUR</v>
      </c>
      <c r="AR20" s="148" t="str">
        <f>F20&amp;N20</f>
        <v>MÉXICOCOREA del SUR</v>
      </c>
      <c r="AS20" s="148" t="str">
        <f>IF(I20&gt;K20,F20,IF(K20&gt;I20,N20,""))</f>
        <v>MÉXICO</v>
      </c>
      <c r="AT20" s="149">
        <f>I20</f>
        <v>1</v>
      </c>
      <c r="AU20" s="149">
        <f>K20</f>
        <v>0</v>
      </c>
      <c r="AV20" s="149">
        <f>AT20-AU20</f>
        <v>1</v>
      </c>
      <c r="AW20" s="225">
        <f>RANK(AY20,$AY$10:$AY$29,0)</f>
        <v>3</v>
      </c>
      <c r="AX20" s="226">
        <f>IF(AND($AO$6&gt;0,$AP$6&gt;0),AN20*10000+AZ20,AO20)</f>
        <v>31</v>
      </c>
      <c r="AY20" s="226">
        <f>IF(AND($AO$6&gt;0,$AP$6&gt;0),AN20*10000+AZ20-2,AO20)</f>
        <v>31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3</v>
      </c>
      <c r="BB20" s="225">
        <f>AX20+BD20</f>
        <v>31</v>
      </c>
      <c r="BC20" s="226">
        <f>AX20+BD20+1</f>
        <v>32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31.01</v>
      </c>
      <c r="BF20" s="225">
        <f>RANK(BE20,$BE$10:$BE$29)</f>
        <v>3</v>
      </c>
      <c r="BG20" s="279">
        <f>BE20-0.01</f>
        <v>31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39"/>
      <c r="J21" s="237"/>
      <c r="K21" s="239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COREA del SURMÉXICO</v>
      </c>
      <c r="AS21" s="148" t="str">
        <f>IF(I20&gt;K20,F20,IF(K20&gt;I20,N20,""))</f>
        <v>MÉXICO</v>
      </c>
      <c r="AT21" s="149">
        <f>K20</f>
        <v>0</v>
      </c>
      <c r="AU21" s="149">
        <f>I20</f>
        <v>1</v>
      </c>
      <c r="AV21" s="149">
        <f>AT21-AU21</f>
        <v>-1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53</v>
      </c>
      <c r="B24" s="196">
        <v>53</v>
      </c>
      <c r="C24" s="195">
        <f>VLOOKUP(A24,tDatos[],IF(UTCElegido="",3,12),0)</f>
        <v>46197</v>
      </c>
      <c r="D24" s="197">
        <f>VLOOKUP(A24,tDatos[],IF(UTCElegido="",4,12),0)</f>
        <v>0.875</v>
      </c>
      <c r="E24" s="18"/>
      <c r="F24" s="198" t="str">
        <f>VLOOKUP(A24,tDatos[],5,0)</f>
        <v>REP. CHECA</v>
      </c>
      <c r="G24" s="192" t="str">
        <f>IF(OR(I24="",K24=""),"",IF(I24=K24,"E",IF(I24&gt;K24,"G","P")))</f>
        <v>P</v>
      </c>
      <c r="H24" s="20"/>
      <c r="I24" s="238">
        <f>IF(Ingreso!G321="","",Ingreso!G321)</f>
        <v>0</v>
      </c>
      <c r="J24" s="237" t="s">
        <v>0</v>
      </c>
      <c r="K24" s="238">
        <f>IF(Ingreso!J321="","",Ingreso!J321)</f>
        <v>3</v>
      </c>
      <c r="L24" s="192" t="str">
        <f>IF(OR(K24="",I24=""),"",IF(K24=I24,"E",IF(K24&gt;I24,"G","P")))</f>
        <v>G</v>
      </c>
      <c r="M24" s="19"/>
      <c r="N24" s="193" t="str">
        <f>VLOOKUP(A24,tDatos[],6,0)</f>
        <v>MÉXICO</v>
      </c>
      <c r="O24" s="18"/>
      <c r="P24" s="218" t="str">
        <f>VLOOKUP(A24,tDatos[],9,0)</f>
        <v>Ciudad de México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REP. CHECAMÉXICO</v>
      </c>
      <c r="AS24" s="148" t="str">
        <f>IF(I24&gt;K24,F24,IF(K24&gt;I24,N24,""))</f>
        <v>MÉXICO</v>
      </c>
      <c r="AT24" s="149">
        <f>I24</f>
        <v>0</v>
      </c>
      <c r="AU24" s="149">
        <f>K24</f>
        <v>3</v>
      </c>
      <c r="AV24" s="149">
        <f>AT24-AU24</f>
        <v>-3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39"/>
      <c r="J25" s="237"/>
      <c r="K25" s="239"/>
      <c r="L25" s="192"/>
      <c r="M25" s="19"/>
      <c r="N25" s="193"/>
      <c r="O25" s="18"/>
      <c r="P25" s="218"/>
      <c r="R25" s="240" t="str">
        <f>"  4)  " &amp; VLOOKUP(4,$AE$10:$AF$29,2,0)</f>
        <v xml:space="preserve">  4)  REP. CHECA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1</v>
      </c>
      <c r="Y25" s="248">
        <f>VLOOKUP(4,$AE$10:$AJ$29,6,0)</f>
        <v>2</v>
      </c>
      <c r="Z25" s="248">
        <f>VLOOKUP(4,$AE$10:$AK$29,7,0)</f>
        <v>2</v>
      </c>
      <c r="AA25" s="248">
        <f>VLOOKUP(4,$AE$10:$AL$29,8,0)</f>
        <v>6</v>
      </c>
      <c r="AB25" s="247">
        <f>Z25-AA25</f>
        <v>-4</v>
      </c>
      <c r="AC25" s="252">
        <f>(W25*3)+X25</f>
        <v>1</v>
      </c>
      <c r="AD25" s="223">
        <f>RANK(AO25,$AO$10:$AO$29,0)</f>
        <v>4</v>
      </c>
      <c r="AE25" s="223">
        <f>RANK(AP25,$AP$10:$AP$29,1)</f>
        <v>4</v>
      </c>
      <c r="AF25" s="223" t="str">
        <f>N12</f>
        <v>REP. CHECA</v>
      </c>
      <c r="AG25" s="249">
        <f>3-COUNTIF(I35:K35,"")</f>
        <v>3</v>
      </c>
      <c r="AH25" s="223">
        <f>COUNTIF(I35:K35,"G")</f>
        <v>0</v>
      </c>
      <c r="AI25" s="223">
        <f>COUNTIF(I35:K35,"E")</f>
        <v>1</v>
      </c>
      <c r="AJ25" s="223">
        <f>COUNTIF(I35:K35,"P")</f>
        <v>2</v>
      </c>
      <c r="AK25" s="249">
        <f>SUM(K12,I16,I24)</f>
        <v>2</v>
      </c>
      <c r="AL25" s="249">
        <f>SUM(I12,K16,K24)</f>
        <v>6</v>
      </c>
      <c r="AM25" s="223">
        <f>AK25-AL25</f>
        <v>-4</v>
      </c>
      <c r="AN25" s="223">
        <f>(AH25*3)+AI25*vcp</f>
        <v>1</v>
      </c>
      <c r="AO25" s="223">
        <f>IF($AO$6&gt;0,AN25*10)</f>
        <v>10</v>
      </c>
      <c r="AP25" s="223">
        <f>IF(AF25=$R$38,BF25-100,IF(AF25=$R$37,BF25-200,IF(AF25=$R$36,BF25-300,BF25)))</f>
        <v>4</v>
      </c>
      <c r="AQ25" s="223" t="str">
        <f>IF(SUM($V$10:$V$29)&gt;0,VLOOKUP(4,$AE$10:$AF$29,2,0),"")</f>
        <v>REP. CHECA</v>
      </c>
      <c r="AR25" s="148" t="str">
        <f>N24&amp;F24</f>
        <v>MÉXICOREP. CHECA</v>
      </c>
      <c r="AS25" s="148" t="str">
        <f>IF(I24&gt;K24,F24,IF(K24&gt;I24,N24,""))</f>
        <v>MÉXICO</v>
      </c>
      <c r="AT25" s="149">
        <f>K24</f>
        <v>3</v>
      </c>
      <c r="AU25" s="149">
        <f>I24</f>
        <v>0</v>
      </c>
      <c r="AV25" s="149">
        <f>AT25-AU25</f>
        <v>3</v>
      </c>
      <c r="AW25" s="225">
        <f>RANK(AY25,$AY$10:$AY$29,0)</f>
        <v>4</v>
      </c>
      <c r="AX25" s="226">
        <f>IF(AND($AO$6&gt;0,$AP$6&gt;0),AN25*10000+AZ25,AO25)</f>
        <v>10</v>
      </c>
      <c r="AY25" s="226">
        <f>IF(AND($AO$6&gt;0,$AP$6&gt;0),AN25*10000+AZ25-3,AO25)</f>
        <v>10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4</v>
      </c>
      <c r="BB25" s="225">
        <f>AX25+BD25</f>
        <v>10</v>
      </c>
      <c r="BC25" s="226">
        <f>AX25+BD25</f>
        <v>10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10</v>
      </c>
      <c r="BF25" s="225">
        <f>RANK(BE25,$BE$10:$BE$29)</f>
        <v>4</v>
      </c>
      <c r="BG25" s="279">
        <f>BE25</f>
        <v>10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54</v>
      </c>
      <c r="B28" s="196">
        <v>54</v>
      </c>
      <c r="C28" s="195">
        <f>VLOOKUP(A28,tDatos[],IF(UTCElegido="",3,12),0)</f>
        <v>46197</v>
      </c>
      <c r="D28" s="197">
        <f>VLOOKUP(A28,tDatos[],IF(UTCElegido="",4,12),0)</f>
        <v>0.875</v>
      </c>
      <c r="E28" s="18"/>
      <c r="F28" s="198" t="str">
        <f>VLOOKUP(A28,tDatos[],5,0)</f>
        <v>SUDÁFRICA</v>
      </c>
      <c r="G28" s="192" t="str">
        <f>IF(OR(I28="",K28=""),"",IF(I28=K28,"E",IF(I28&gt;K28,"G","P")))</f>
        <v>G</v>
      </c>
      <c r="H28" s="20"/>
      <c r="I28" s="238">
        <f>IF(Ingreso!G327="","",Ingreso!G327)</f>
        <v>1</v>
      </c>
      <c r="J28" s="237" t="s">
        <v>0</v>
      </c>
      <c r="K28" s="238">
        <f>IF(Ingreso!J327="","",Ingreso!J327)</f>
        <v>0</v>
      </c>
      <c r="L28" s="192" t="str">
        <f>IF(OR(K28="",I28=""),"",IF(K28=I28,"E",IF(K28&gt;I28,"G","P")))</f>
        <v>P</v>
      </c>
      <c r="M28" s="19"/>
      <c r="N28" s="193" t="str">
        <f>VLOOKUP(A28,tDatos[],6,0)</f>
        <v>COREA del SUR</v>
      </c>
      <c r="O28" s="18"/>
      <c r="P28" s="218" t="str">
        <f>VLOOKUP(A28,tDatos[],9,0)</f>
        <v>Monterrey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SUDÁFRICACOREA del SUR</v>
      </c>
      <c r="AS28" s="148" t="str">
        <f>IF(I28&gt;K28,F28,IF(K28&gt;I28,N28,""))</f>
        <v>SUDÁFRICA</v>
      </c>
      <c r="AT28" s="149">
        <f>I28</f>
        <v>1</v>
      </c>
      <c r="AU28" s="149">
        <f>K28</f>
        <v>0</v>
      </c>
      <c r="AV28" s="149">
        <f>AT28-AU28</f>
        <v>1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39"/>
      <c r="J29" s="237"/>
      <c r="K29" s="239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COREA del SURSUDÁFRICA</v>
      </c>
      <c r="AS29" s="148" t="str">
        <f>IF(I28&gt;K28,F28,IF(K28&gt;I28,N28,""))</f>
        <v>SUDÁFRICA</v>
      </c>
      <c r="AT29" s="149">
        <f>K28</f>
        <v>0</v>
      </c>
      <c r="AU29" s="149">
        <f>I28</f>
        <v>1</v>
      </c>
      <c r="AV29" s="149">
        <f>AT29-AU29</f>
        <v>-1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MÉXICO</v>
      </c>
      <c r="I32" t="str">
        <f>G8</f>
        <v>G</v>
      </c>
      <c r="J32" t="str">
        <f>G20</f>
        <v>G</v>
      </c>
      <c r="K32" t="str">
        <f>L24</f>
        <v>G</v>
      </c>
    </row>
    <row r="33" spans="6:21" hidden="1" x14ac:dyDescent="0.25">
      <c r="F33" t="str">
        <f>N8</f>
        <v>SUDÁFRICA</v>
      </c>
      <c r="I33" t="str">
        <f>L8</f>
        <v>P</v>
      </c>
      <c r="J33" t="str">
        <f>L16</f>
        <v>E</v>
      </c>
      <c r="K33" t="str">
        <f>G28</f>
        <v>G</v>
      </c>
    </row>
    <row r="34" spans="6:21" hidden="1" x14ac:dyDescent="0.25">
      <c r="F34" t="str">
        <f>F12</f>
        <v>COREA del SUR</v>
      </c>
      <c r="I34" t="str">
        <f>G12</f>
        <v>G</v>
      </c>
      <c r="J34" t="str">
        <f>L20</f>
        <v>P</v>
      </c>
      <c r="K34" t="str">
        <f>L28</f>
        <v>P</v>
      </c>
    </row>
    <row r="35" spans="6:21" hidden="1" x14ac:dyDescent="0.25">
      <c r="F35" t="str">
        <f>N12</f>
        <v>REP. CHECA</v>
      </c>
      <c r="I35" t="str">
        <f>L12</f>
        <v>P</v>
      </c>
      <c r="J35" t="str">
        <f>G16</f>
        <v>E</v>
      </c>
      <c r="K35" t="str">
        <f>G24</f>
        <v>P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E25:BE29"/>
    <mergeCell ref="BF25:BF29"/>
    <mergeCell ref="BG25:BG29"/>
    <mergeCell ref="BH25:BH29"/>
    <mergeCell ref="BE10:BE14"/>
    <mergeCell ref="BF10:BF14"/>
    <mergeCell ref="BG10:BG14"/>
    <mergeCell ref="BH10:BH14"/>
    <mergeCell ref="BE15:BE19"/>
    <mergeCell ref="BF15:BF19"/>
    <mergeCell ref="BG15:BG19"/>
    <mergeCell ref="BH15:BH19"/>
    <mergeCell ref="BE20:BE24"/>
    <mergeCell ref="BF20:BF24"/>
    <mergeCell ref="BG20:BG24"/>
    <mergeCell ref="BH20:BH24"/>
    <mergeCell ref="BD10:BD14"/>
    <mergeCell ref="BD15:BD19"/>
    <mergeCell ref="BD20:BD24"/>
    <mergeCell ref="BD25:BD29"/>
    <mergeCell ref="AE10:AE14"/>
    <mergeCell ref="AE15:AE19"/>
    <mergeCell ref="AE20:AE24"/>
    <mergeCell ref="AE25:AE29"/>
    <mergeCell ref="AW10:AW14"/>
    <mergeCell ref="AW15:AW19"/>
    <mergeCell ref="AW20:AW24"/>
    <mergeCell ref="AW25:AW29"/>
    <mergeCell ref="AZ10:AZ14"/>
    <mergeCell ref="AZ15:AZ19"/>
    <mergeCell ref="AZ20:AZ24"/>
    <mergeCell ref="AZ25:AZ29"/>
    <mergeCell ref="AO10:AO14"/>
    <mergeCell ref="AQ10:AQ14"/>
    <mergeCell ref="AO15:AO19"/>
    <mergeCell ref="AQ15:AQ19"/>
    <mergeCell ref="AO25:AO29"/>
    <mergeCell ref="AG20:AG24"/>
    <mergeCell ref="AN25:AN29"/>
    <mergeCell ref="BC10:BC14"/>
    <mergeCell ref="R38:U38"/>
    <mergeCell ref="W10:W14"/>
    <mergeCell ref="V25:V29"/>
    <mergeCell ref="AK15:AK19"/>
    <mergeCell ref="X15:X19"/>
    <mergeCell ref="Y15:Y19"/>
    <mergeCell ref="Z15:Z19"/>
    <mergeCell ref="AK25:AK29"/>
    <mergeCell ref="AL25:AL29"/>
    <mergeCell ref="R37:U37"/>
    <mergeCell ref="AF25:AF29"/>
    <mergeCell ref="AH25:AH29"/>
    <mergeCell ref="AI25:AI29"/>
    <mergeCell ref="AJ25:AJ29"/>
    <mergeCell ref="W25:W29"/>
    <mergeCell ref="X25:X29"/>
    <mergeCell ref="Y25:Y29"/>
    <mergeCell ref="Z25:Z29"/>
    <mergeCell ref="AA25:AA29"/>
    <mergeCell ref="AI10:AI14"/>
    <mergeCell ref="AJ10:AJ14"/>
    <mergeCell ref="AK10:AK14"/>
    <mergeCell ref="AL10:AL14"/>
    <mergeCell ref="AA15:AA19"/>
    <mergeCell ref="AN15:AN19"/>
    <mergeCell ref="AH15:AH19"/>
    <mergeCell ref="AI15:AI19"/>
    <mergeCell ref="AJ15:AJ19"/>
    <mergeCell ref="AM10:AM14"/>
    <mergeCell ref="AO8:AO9"/>
    <mergeCell ref="Z10:Z14"/>
    <mergeCell ref="AA10:AA14"/>
    <mergeCell ref="AB10:AB14"/>
    <mergeCell ref="AD10:AD14"/>
    <mergeCell ref="AF10:AF14"/>
    <mergeCell ref="AC10:AC14"/>
    <mergeCell ref="AC15:AC19"/>
    <mergeCell ref="AG8:AG9"/>
    <mergeCell ref="AC7:AC9"/>
    <mergeCell ref="AG10:AG14"/>
    <mergeCell ref="AG15:AG19"/>
    <mergeCell ref="AH8:AH9"/>
    <mergeCell ref="AI8:AI9"/>
    <mergeCell ref="AJ8:AJ9"/>
    <mergeCell ref="AN10:AN14"/>
    <mergeCell ref="AH10:AH14"/>
    <mergeCell ref="AL8:AL9"/>
    <mergeCell ref="AM8:AM9"/>
    <mergeCell ref="N10:N11"/>
    <mergeCell ref="P10:P11"/>
    <mergeCell ref="P14:P15"/>
    <mergeCell ref="R15:U19"/>
    <mergeCell ref="V15:V19"/>
    <mergeCell ref="N12:N13"/>
    <mergeCell ref="P12:P13"/>
    <mergeCell ref="N16:N17"/>
    <mergeCell ref="P16:P17"/>
    <mergeCell ref="N18:N19"/>
    <mergeCell ref="P18:P19"/>
    <mergeCell ref="V10:V14"/>
    <mergeCell ref="N14:N15"/>
    <mergeCell ref="Y10:Y14"/>
    <mergeCell ref="T1:X1"/>
    <mergeCell ref="E6:O6"/>
    <mergeCell ref="A8:A9"/>
    <mergeCell ref="C8:C9"/>
    <mergeCell ref="D8:D9"/>
    <mergeCell ref="F8:F9"/>
    <mergeCell ref="G8:G9"/>
    <mergeCell ref="I8:I9"/>
    <mergeCell ref="J8:J9"/>
    <mergeCell ref="L8:L9"/>
    <mergeCell ref="N8:N9"/>
    <mergeCell ref="P8:P9"/>
    <mergeCell ref="R8:U9"/>
    <mergeCell ref="V8:V9"/>
    <mergeCell ref="J12:J13"/>
    <mergeCell ref="K12:K13"/>
    <mergeCell ref="L12:L13"/>
    <mergeCell ref="J10:J11"/>
    <mergeCell ref="K10:K11"/>
    <mergeCell ref="K8:K9"/>
    <mergeCell ref="X10:X14"/>
    <mergeCell ref="J14:J15"/>
    <mergeCell ref="R10:U14"/>
    <mergeCell ref="R6:AC6"/>
    <mergeCell ref="AD8:AD9"/>
    <mergeCell ref="AN8:AN9"/>
    <mergeCell ref="AK8:AK9"/>
    <mergeCell ref="W8:W9"/>
    <mergeCell ref="X8:X9"/>
    <mergeCell ref="Y8:Y9"/>
    <mergeCell ref="Z8:Z9"/>
    <mergeCell ref="AA8:AA9"/>
    <mergeCell ref="AB8:AB9"/>
    <mergeCell ref="D12:D13"/>
    <mergeCell ref="F12:F13"/>
    <mergeCell ref="G12:G13"/>
    <mergeCell ref="I12:I13"/>
    <mergeCell ref="A14:A15"/>
    <mergeCell ref="C14:C15"/>
    <mergeCell ref="D14:D15"/>
    <mergeCell ref="F14:F15"/>
    <mergeCell ref="I14:I15"/>
    <mergeCell ref="A10:A11"/>
    <mergeCell ref="C10:C11"/>
    <mergeCell ref="D10:D11"/>
    <mergeCell ref="F10:F11"/>
    <mergeCell ref="I10:I11"/>
    <mergeCell ref="J16:J17"/>
    <mergeCell ref="K16:K17"/>
    <mergeCell ref="L16:L17"/>
    <mergeCell ref="D18:D19"/>
    <mergeCell ref="F18:F19"/>
    <mergeCell ref="I18:I19"/>
    <mergeCell ref="J18:J19"/>
    <mergeCell ref="K18:K19"/>
    <mergeCell ref="A18:A19"/>
    <mergeCell ref="C18:C19"/>
    <mergeCell ref="A16:A17"/>
    <mergeCell ref="C16:C17"/>
    <mergeCell ref="D16:D17"/>
    <mergeCell ref="F16:F17"/>
    <mergeCell ref="G16:G17"/>
    <mergeCell ref="I16:I17"/>
    <mergeCell ref="K14:K15"/>
    <mergeCell ref="A12:A13"/>
    <mergeCell ref="C12:C13"/>
    <mergeCell ref="C20:C21"/>
    <mergeCell ref="D20:D21"/>
    <mergeCell ref="F20:F21"/>
    <mergeCell ref="G20:G21"/>
    <mergeCell ref="I20:I21"/>
    <mergeCell ref="J20:J21"/>
    <mergeCell ref="K20:K21"/>
    <mergeCell ref="L20:L21"/>
    <mergeCell ref="AM25:AM29"/>
    <mergeCell ref="AG25:AG29"/>
    <mergeCell ref="C28:C29"/>
    <mergeCell ref="D28:D29"/>
    <mergeCell ref="F28:F29"/>
    <mergeCell ref="G28:G29"/>
    <mergeCell ref="I28:I29"/>
    <mergeCell ref="J24:J25"/>
    <mergeCell ref="AB25:AB29"/>
    <mergeCell ref="P20:P21"/>
    <mergeCell ref="AC25:AC29"/>
    <mergeCell ref="V20:V24"/>
    <mergeCell ref="I26:I27"/>
    <mergeCell ref="I24:I25"/>
    <mergeCell ref="W15:W19"/>
    <mergeCell ref="AO20:AO24"/>
    <mergeCell ref="AQ20:AQ24"/>
    <mergeCell ref="AB20:AB24"/>
    <mergeCell ref="AD20:AD24"/>
    <mergeCell ref="AF20:AF24"/>
    <mergeCell ref="AN20:AN24"/>
    <mergeCell ref="AH20:AH24"/>
    <mergeCell ref="AI20:AI24"/>
    <mergeCell ref="W20:W24"/>
    <mergeCell ref="X20:X24"/>
    <mergeCell ref="Y20:Y24"/>
    <mergeCell ref="Z20:Z24"/>
    <mergeCell ref="AA20:AA24"/>
    <mergeCell ref="AK20:AK24"/>
    <mergeCell ref="AL20:AL24"/>
    <mergeCell ref="AM20:AM24"/>
    <mergeCell ref="AL15:AL19"/>
    <mergeCell ref="AM15:AM19"/>
    <mergeCell ref="AF15:AF19"/>
    <mergeCell ref="AJ20:AJ24"/>
    <mergeCell ref="AC20:AC24"/>
    <mergeCell ref="AB15:AB19"/>
    <mergeCell ref="AD15:AD19"/>
    <mergeCell ref="R36:U36"/>
    <mergeCell ref="J26:J27"/>
    <mergeCell ref="K26:K27"/>
    <mergeCell ref="N26:N27"/>
    <mergeCell ref="P26:P27"/>
    <mergeCell ref="J28:J29"/>
    <mergeCell ref="K28:K29"/>
    <mergeCell ref="K24:K25"/>
    <mergeCell ref="L24:L25"/>
    <mergeCell ref="N24:N25"/>
    <mergeCell ref="P24:P25"/>
    <mergeCell ref="R25:U29"/>
    <mergeCell ref="R20:U24"/>
    <mergeCell ref="K22:K23"/>
    <mergeCell ref="N22:N23"/>
    <mergeCell ref="P22:P23"/>
    <mergeCell ref="N20:N21"/>
    <mergeCell ref="BC15:BC19"/>
    <mergeCell ref="BC20:BC24"/>
    <mergeCell ref="BC25:BC29"/>
    <mergeCell ref="A22:A23"/>
    <mergeCell ref="C22:C23"/>
    <mergeCell ref="D22:D23"/>
    <mergeCell ref="F22:F23"/>
    <mergeCell ref="I22:I23"/>
    <mergeCell ref="J22:J23"/>
    <mergeCell ref="A24:A25"/>
    <mergeCell ref="C24:C25"/>
    <mergeCell ref="D24:D25"/>
    <mergeCell ref="F24:F25"/>
    <mergeCell ref="G24:G25"/>
    <mergeCell ref="AD25:AD29"/>
    <mergeCell ref="L28:L29"/>
    <mergeCell ref="N28:N29"/>
    <mergeCell ref="P28:P29"/>
    <mergeCell ref="A28:A29"/>
    <mergeCell ref="A20:A21"/>
    <mergeCell ref="A26:A27"/>
    <mergeCell ref="C26:C27"/>
    <mergeCell ref="D26:D27"/>
    <mergeCell ref="F26:F27"/>
    <mergeCell ref="AP10:AP14"/>
    <mergeCell ref="AP15:AP19"/>
    <mergeCell ref="AP20:AP24"/>
    <mergeCell ref="AP25:AP29"/>
    <mergeCell ref="AP8:AP9"/>
    <mergeCell ref="AQ8:AQ9"/>
    <mergeCell ref="BB10:BB14"/>
    <mergeCell ref="BB15:BB19"/>
    <mergeCell ref="BB20:BB24"/>
    <mergeCell ref="BB25:BB29"/>
    <mergeCell ref="AY10:AY14"/>
    <mergeCell ref="AY15:AY19"/>
    <mergeCell ref="AY20:AY24"/>
    <mergeCell ref="AY25:AY29"/>
    <mergeCell ref="AQ25:AQ29"/>
    <mergeCell ref="AX10:AX14"/>
    <mergeCell ref="AX15:AX19"/>
    <mergeCell ref="AX20:AX24"/>
    <mergeCell ref="AX25:AX29"/>
    <mergeCell ref="BA10:BA14"/>
    <mergeCell ref="BA15:BA19"/>
    <mergeCell ref="BA20:BA24"/>
    <mergeCell ref="BA25:BA29"/>
  </mergeCells>
  <phoneticPr fontId="25" type="noConversion"/>
  <dataValidations count="1">
    <dataValidation type="list" allowBlank="1" showInputMessage="1" showErrorMessage="1" errorTitle="El nombre no es válido" error="Debes escoger uno de los nombres de la lista." sqref="R36:U38" xr:uid="{00000000-0002-0000-0100-000000000000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109E-B114-49DA-8759-EE6512F4AFC7}">
  <sheetPr codeName="Hoja4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V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R5" s="4"/>
      <c r="S5" s="4"/>
      <c r="T5" s="4"/>
      <c r="U5" s="4"/>
      <c r="V5" s="4"/>
      <c r="W5" s="4"/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1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1</v>
      </c>
      <c r="AY6" s="147"/>
      <c r="BB6" s="147">
        <f>(BB10=BB15)+(BB15=BB20)+(BB20=BB25)+(BB10=BB20)+(BB15=BB25)+(BB10=BB25)</f>
        <v>1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3</v>
      </c>
      <c r="B8" s="196">
        <v>3</v>
      </c>
      <c r="C8" s="195">
        <f>VLOOKUP(A8,tDatos[],IF(UTCElegido="",3,12),0)</f>
        <v>46185</v>
      </c>
      <c r="D8" s="197">
        <f>VLOOKUP(A8,tDatos[],IF(UTCElegido="",4,12),0)</f>
        <v>0.625</v>
      </c>
      <c r="E8" s="18"/>
      <c r="F8" s="198" t="str">
        <f>VLOOKUP(A8,tDatos[],5,0)</f>
        <v>CANADÁ</v>
      </c>
      <c r="G8" s="192" t="str">
        <f>IF(AND(I8&lt;&gt;"",K8&lt;&gt;""),IF(I8=K8,"E",IF(I8&gt;K8,"G","P")),"")</f>
        <v>E</v>
      </c>
      <c r="H8" s="20"/>
      <c r="I8" s="280">
        <f>IF(Ingreso!G21="","",Ingreso!G21)</f>
        <v>1</v>
      </c>
      <c r="J8" s="237" t="s">
        <v>0</v>
      </c>
      <c r="K8" s="280">
        <f>IF(Ingreso!J21="","",Ingreso!J21)</f>
        <v>1</v>
      </c>
      <c r="L8" s="192" t="str">
        <f>IF(AND(K8&lt;&gt;"",I8&lt;&gt;""),IF(K8=I8,"E",IF(K8&gt;I8,"G","P")),"")</f>
        <v>E</v>
      </c>
      <c r="M8" s="19"/>
      <c r="N8" s="193" t="str">
        <f>VLOOKUP(A8,tDatos[],6,0)</f>
        <v>BOSNIA y HERZEG.</v>
      </c>
      <c r="O8" s="18"/>
      <c r="P8" s="218" t="str">
        <f>VLOOKUP(A8,tDatos[],9,0)</f>
        <v>Toronto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CANADÁBOSNIA y HERZEG.</v>
      </c>
      <c r="AS8" s="148" t="str">
        <f>IF(I8&gt;K8,F8,IF(K8&gt;I8,N8,""))</f>
        <v/>
      </c>
      <c r="AT8" s="149">
        <f>I8</f>
        <v>1</v>
      </c>
      <c r="AU8" s="149">
        <f>K8</f>
        <v>1</v>
      </c>
      <c r="AV8" s="149">
        <f>AT8-AU8</f>
        <v>0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BOSNIA y HERZEG.CANADÁ</v>
      </c>
      <c r="AS9" s="148" t="str">
        <f>IF(I8&gt;K8,F8,IF(K8&gt;I8,N8,""))</f>
        <v/>
      </c>
      <c r="AT9" s="149">
        <f>K8</f>
        <v>1</v>
      </c>
      <c r="AU9" s="149">
        <f>I8</f>
        <v>1</v>
      </c>
      <c r="AV9" s="149">
        <f>AT9-AU9</f>
        <v>0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SUIZA</v>
      </c>
      <c r="S10" s="266"/>
      <c r="T10" s="266"/>
      <c r="U10" s="267"/>
      <c r="V10" s="274">
        <f>VLOOKUP(1,$AE$10:$AG$29,3,0)</f>
        <v>3</v>
      </c>
      <c r="W10" s="246">
        <f>VLOOKUP(1,$AE$10:$AH$29,4,0)</f>
        <v>2</v>
      </c>
      <c r="X10" s="246">
        <f>VLOOKUP(1,$AE$10:$AI$29,5,0)</f>
        <v>1</v>
      </c>
      <c r="Y10" s="246">
        <f>VLOOKUP(1,$AE$10:$AJ$29,6,0)</f>
        <v>0</v>
      </c>
      <c r="Z10" s="246">
        <f>VLOOKUP(1,$AE$10:$AK$29,7,0)</f>
        <v>7</v>
      </c>
      <c r="AA10" s="246">
        <f>VLOOKUP(1,$AE$10:$AL$29,8,0)</f>
        <v>3</v>
      </c>
      <c r="AB10" s="246">
        <f>Z10-AA10</f>
        <v>4</v>
      </c>
      <c r="AC10" s="275">
        <f>(W10*3)+X10</f>
        <v>7</v>
      </c>
      <c r="AD10" s="223">
        <f>RANK(AO10,$AO$10:$AO$29,0)</f>
        <v>2</v>
      </c>
      <c r="AE10" s="223">
        <f>RANK(AP10,$AP$10:$AP$29,1)</f>
        <v>2</v>
      </c>
      <c r="AF10" s="223" t="str">
        <f>F8</f>
        <v>CANADÁ</v>
      </c>
      <c r="AG10" s="249">
        <f>3-COUNTIF(I32:K32,"")</f>
        <v>3</v>
      </c>
      <c r="AH10" s="223">
        <f>COUNTIF(I32:K32,"G")</f>
        <v>1</v>
      </c>
      <c r="AI10" s="223">
        <f>COUNTIF(I32:K32,"E")</f>
        <v>1</v>
      </c>
      <c r="AJ10" s="223">
        <f>COUNTIF(I32:K32,"P")</f>
        <v>1</v>
      </c>
      <c r="AK10" s="223">
        <f>SUM(I8,I20,K24)</f>
        <v>8</v>
      </c>
      <c r="AL10" s="223">
        <f>SUM(K8,K20,I24)</f>
        <v>3</v>
      </c>
      <c r="AM10" s="223">
        <f>AK10-AL10</f>
        <v>5</v>
      </c>
      <c r="AN10" s="223">
        <f>(AH10*3)+AI10*vcp</f>
        <v>4</v>
      </c>
      <c r="AO10" s="223">
        <f>IF($AO$6&gt;0,AN10*10+3)</f>
        <v>43</v>
      </c>
      <c r="AP10" s="223">
        <f>IF(AF10=$R$38,BF10-100,IF(AF10=$R$37,BF10-200,IF(AF10=$R$36,BF10-300,BF10)))</f>
        <v>2</v>
      </c>
      <c r="AQ10" s="223" t="str">
        <f>IF(R36="",IF(SUM($V$10:$V$29)&gt;0,VLOOKUP(1,$AE$10:$AF$29,2,0),""),R36)</f>
        <v>SUIZA</v>
      </c>
      <c r="AR10" s="151"/>
      <c r="AS10" s="148"/>
      <c r="AT10" s="148"/>
      <c r="AU10" s="148"/>
      <c r="AV10" s="152"/>
      <c r="AW10" s="225">
        <f>RANK(AY10,$AY$10:$AY$29,0)</f>
        <v>2</v>
      </c>
      <c r="AX10" s="226">
        <f>IF(AND($AO$6&gt;0,$AP$6&gt;0),AN10*10000+AZ10,AO10)</f>
        <v>40000</v>
      </c>
      <c r="AY10" s="226">
        <f>IF(AND($AO$6&gt;0,$AP$6&gt;0),AN10*10000+AZ10,AO10)</f>
        <v>40000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2</v>
      </c>
      <c r="BB10" s="225">
        <f>AX10+BD10</f>
        <v>40000</v>
      </c>
      <c r="BC10" s="226">
        <f>AX10+BD10+3</f>
        <v>40003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40045.83</v>
      </c>
      <c r="BF10" s="225">
        <f>RANK(BE10,$BE$10:$BE$29)</f>
        <v>2</v>
      </c>
      <c r="BG10" s="279">
        <f>BE10-0.03</f>
        <v>40045.800000000003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5</v>
      </c>
      <c r="B12" s="196">
        <v>8</v>
      </c>
      <c r="C12" s="195">
        <f>VLOOKUP(A12,tDatos[],IF(UTCElegido="",3,12),0)</f>
        <v>46186</v>
      </c>
      <c r="D12" s="197">
        <f>VLOOKUP(A12,tDatos[],IF(UTCElegido="",4,12),0)</f>
        <v>0.625</v>
      </c>
      <c r="E12" s="18"/>
      <c r="F12" s="198" t="str">
        <f>VLOOKUP(A12,tDatos[],5,0)</f>
        <v>CATAR</v>
      </c>
      <c r="G12" s="192" t="str">
        <f>IF(AND(I12&lt;&gt;"",K12&lt;&gt;""),IF(I12=K12,"E",IF(I12&gt;K12,"G","P")),"")</f>
        <v>E</v>
      </c>
      <c r="H12" s="20"/>
      <c r="I12" s="280">
        <f>IF(Ingreso!G33="","",Ingreso!G33)</f>
        <v>1</v>
      </c>
      <c r="J12" s="237" t="s">
        <v>0</v>
      </c>
      <c r="K12" s="280">
        <f>IF(Ingreso!J33="","",Ingreso!J33)</f>
        <v>1</v>
      </c>
      <c r="L12" s="192" t="str">
        <f>IF(AND(K12&lt;&gt;"",I12&lt;&gt;""),IF(K12=I12,"E",IF(K12&gt;I12,"G","P")),"")</f>
        <v>E</v>
      </c>
      <c r="M12" s="19"/>
      <c r="N12" s="193" t="str">
        <f>VLOOKUP(A12,tDatos[],6,0)</f>
        <v>SUIZA</v>
      </c>
      <c r="O12" s="18"/>
      <c r="P12" s="218" t="str">
        <f>VLOOKUP(A12,tDatos[],9,0)</f>
        <v>San Francisco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CATARSUIZA</v>
      </c>
      <c r="AS12" s="148" t="str">
        <f>IF(I12&gt;K12,F12,IF(K12&gt;I12,N12,""))</f>
        <v/>
      </c>
      <c r="AT12" s="149">
        <f>I12</f>
        <v>1</v>
      </c>
      <c r="AU12" s="149">
        <f>K12</f>
        <v>1</v>
      </c>
      <c r="AV12" s="149">
        <f>AT12-AU12</f>
        <v>0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SUIZACATAR</v>
      </c>
      <c r="AS13" s="148" t="str">
        <f>IF(I12&gt;K12,F12,IF(K12&gt;I12,N12,""))</f>
        <v/>
      </c>
      <c r="AT13" s="149">
        <f>K12</f>
        <v>1</v>
      </c>
      <c r="AU13" s="149">
        <f>I12</f>
        <v>1</v>
      </c>
      <c r="AV13" s="149">
        <f>AT13-AU13</f>
        <v>0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CANADÁ</v>
      </c>
      <c r="S15" s="266"/>
      <c r="T15" s="266"/>
      <c r="U15" s="267"/>
      <c r="V15" s="274">
        <f>VLOOKUP(2,$AE$10:$AG$29,3,0)</f>
        <v>3</v>
      </c>
      <c r="W15" s="246">
        <f>VLOOKUP(2,$AE$10:$AH$29,4,0)</f>
        <v>1</v>
      </c>
      <c r="X15" s="246">
        <f>VLOOKUP(2,$AE$10:$AI$29,5,0)</f>
        <v>1</v>
      </c>
      <c r="Y15" s="246">
        <f>VLOOKUP(2,$AE$10:$AJ$29,6,0)</f>
        <v>1</v>
      </c>
      <c r="Z15" s="246">
        <f>VLOOKUP(2,$AE$10:$AK$29,7,0)</f>
        <v>8</v>
      </c>
      <c r="AA15" s="246">
        <f>VLOOKUP(2,$AE$10:$AL$29,8,0)</f>
        <v>3</v>
      </c>
      <c r="AB15" s="246">
        <f>Z15-AA15</f>
        <v>5</v>
      </c>
      <c r="AC15" s="275">
        <f>(W15*3)+X15</f>
        <v>4</v>
      </c>
      <c r="AD15" s="223">
        <f>RANK(AO15,$AO$10:$AO$29,0)</f>
        <v>3</v>
      </c>
      <c r="AE15" s="223">
        <f>RANK(AP15,$AP$10:$AP$29,1)</f>
        <v>3</v>
      </c>
      <c r="AF15" s="223" t="str">
        <f>N8</f>
        <v>BOSNIA y HERZEG.</v>
      </c>
      <c r="AG15" s="249">
        <f>3-COUNTIF(I33:K33,"")</f>
        <v>3</v>
      </c>
      <c r="AH15" s="223">
        <f>COUNTIF(I33:K33,"G")</f>
        <v>1</v>
      </c>
      <c r="AI15" s="223">
        <f>COUNTIF(I33:K33,"E")</f>
        <v>1</v>
      </c>
      <c r="AJ15" s="223">
        <f>COUNTIF(I33:K33,"P")</f>
        <v>1</v>
      </c>
      <c r="AK15" s="249">
        <f>SUM(K8,K16,I28)</f>
        <v>5</v>
      </c>
      <c r="AL15" s="223">
        <f>SUM(I8,I16,K28)</f>
        <v>6</v>
      </c>
      <c r="AM15" s="223">
        <f>AK15-AL15</f>
        <v>-1</v>
      </c>
      <c r="AN15" s="223">
        <f>(AH15*3)+AI15*vcp</f>
        <v>4</v>
      </c>
      <c r="AO15" s="223">
        <f>IF($AO$6&gt;0,AN15*10+2)</f>
        <v>42</v>
      </c>
      <c r="AP15" s="223">
        <f>IF(AF15=$R$38,BF15-100,IF(AF15=$R$37,BF15-200,IF(AF15=$R$36,BF15-300,BF15)))</f>
        <v>3</v>
      </c>
      <c r="AQ15" s="223" t="str">
        <f>IF(R37="",IF(SUM($V$10:$V$29)&gt;0,VLOOKUP(2,$AE$10:$AF$29,2,0),""),R37)</f>
        <v>CANADÁ</v>
      </c>
      <c r="AR15" s="151"/>
      <c r="AS15" s="148"/>
      <c r="AT15" s="148"/>
      <c r="AU15" s="148"/>
      <c r="AV15" s="152"/>
      <c r="AW15" s="225">
        <f>RANK(AY15,$AY$10:$AY$29,0)</f>
        <v>3</v>
      </c>
      <c r="AX15" s="226">
        <f>IF(AND($AO$6&gt;0,$AP$6&gt;0),AN15*10000+AZ15,AO15)</f>
        <v>40000</v>
      </c>
      <c r="AY15" s="226">
        <f>IF(AND($AO$6&gt;0,$AP$6&gt;0),AN15*10000+AZ15-1,AO15)</f>
        <v>39999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2</v>
      </c>
      <c r="BB15" s="225">
        <f>AX15+BD15</f>
        <v>40000</v>
      </c>
      <c r="BC15" s="226">
        <f>AX15+BD15+2</f>
        <v>40002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40039.519999999997</v>
      </c>
      <c r="BF15" s="225">
        <f>RANK(BE15,$BE$10:$BE$29)</f>
        <v>3</v>
      </c>
      <c r="BG15" s="279">
        <f>BE15-0.02</f>
        <v>40039.5</v>
      </c>
      <c r="BH15" s="279">
        <f>COUNTIF($BG$10:$BG$29,BG15)</f>
        <v>1</v>
      </c>
    </row>
    <row r="16" spans="1:60" ht="7.5" customHeight="1" x14ac:dyDescent="0.25">
      <c r="A16" s="229">
        <v>26</v>
      </c>
      <c r="B16" s="196">
        <v>26</v>
      </c>
      <c r="C16" s="195">
        <f>VLOOKUP(A16,tDatos[],IF(UTCElegido="",3,12),0)</f>
        <v>46191</v>
      </c>
      <c r="D16" s="197">
        <f>VLOOKUP(A16,tDatos[],IF(UTCElegido="",4,12),0)</f>
        <v>0.625</v>
      </c>
      <c r="E16" s="18"/>
      <c r="F16" s="198" t="str">
        <f>VLOOKUP(A16,tDatos[],5,0)</f>
        <v>SUIZA</v>
      </c>
      <c r="G16" s="192" t="str">
        <f>IF(AND(I16&lt;&gt;"",K16&lt;&gt;""),IF(I16=K16,"E",IF(I16&gt;K16,"G","P")),"")</f>
        <v>G</v>
      </c>
      <c r="H16" s="20"/>
      <c r="I16" s="280">
        <f>IF(Ingreso!G159="","",Ingreso!G159)</f>
        <v>4</v>
      </c>
      <c r="J16" s="237" t="s">
        <v>0</v>
      </c>
      <c r="K16" s="280">
        <f>IF(Ingreso!J159="","",Ingreso!J159)</f>
        <v>1</v>
      </c>
      <c r="L16" s="192" t="str">
        <f>IF(AND(K16&lt;&gt;"",I16&lt;&gt;""),IF(K16=I16,"E",IF(K16&gt;I16,"G","P")),"")</f>
        <v>P</v>
      </c>
      <c r="M16" s="19"/>
      <c r="N16" s="193" t="str">
        <f>VLOOKUP(A16,tDatos[],6,0)</f>
        <v>BOSNIA y HERZEG.</v>
      </c>
      <c r="O16" s="18"/>
      <c r="P16" s="218" t="str">
        <f>VLOOKUP(A16,tDatos[],9,0)</f>
        <v>Los Angeles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SUIZABOSNIA y HERZEG.</v>
      </c>
      <c r="AS16" s="148" t="str">
        <f>IF(I16&gt;K16,F16,IF(K16&gt;I16,N16,""))</f>
        <v>SUIZA</v>
      </c>
      <c r="AT16" s="149">
        <f>I16</f>
        <v>4</v>
      </c>
      <c r="AU16" s="149">
        <f>K16</f>
        <v>1</v>
      </c>
      <c r="AV16" s="149">
        <f>AT16-AU16</f>
        <v>3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BOSNIA y HERZEG.SUIZA</v>
      </c>
      <c r="AS17" s="148" t="str">
        <f>IF(I16&gt;K16,F16,IF(K16&gt;I16,N16,""))</f>
        <v>SUIZA</v>
      </c>
      <c r="AT17" s="149">
        <f>K16</f>
        <v>1</v>
      </c>
      <c r="AU17" s="149">
        <f>I16</f>
        <v>4</v>
      </c>
      <c r="AV17" s="149">
        <f>AT17-AU17</f>
        <v>-3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27</v>
      </c>
      <c r="B20" s="196">
        <v>27</v>
      </c>
      <c r="C20" s="195">
        <f>VLOOKUP(A20,tDatos[],IF(UTCElegido="",3,12),0)</f>
        <v>46191</v>
      </c>
      <c r="D20" s="197">
        <f>VLOOKUP(A20,tDatos[],IF(UTCElegido="",4,12),0)</f>
        <v>0.75</v>
      </c>
      <c r="E20" s="18"/>
      <c r="F20" s="198" t="str">
        <f>VLOOKUP(A20,tDatos[],5,0)</f>
        <v>CANADÁ</v>
      </c>
      <c r="G20" s="192" t="str">
        <f>IF(AND(I20&lt;&gt;"",K20&lt;&gt;""),IF(I20=K20,"E",IF(I20&gt;K20,"G","P")),"")</f>
        <v>G</v>
      </c>
      <c r="H20" s="20"/>
      <c r="I20" s="280">
        <f>IF(Ingreso!G165="","",Ingreso!G165)</f>
        <v>6</v>
      </c>
      <c r="J20" s="237" t="s">
        <v>0</v>
      </c>
      <c r="K20" s="280">
        <f>IF(Ingreso!J165="","",Ingreso!J165)</f>
        <v>0</v>
      </c>
      <c r="L20" s="192" t="str">
        <f>IF(AND(K20&lt;&gt;"",I20&lt;&gt;""),IF(K20=I20,"E",IF(K20&gt;I20,"G","P")),"")</f>
        <v>P</v>
      </c>
      <c r="M20" s="19"/>
      <c r="N20" s="193" t="str">
        <f>VLOOKUP(A20,tDatos[],6,0)</f>
        <v>CATAR</v>
      </c>
      <c r="O20" s="18"/>
      <c r="P20" s="218" t="str">
        <f>VLOOKUP(A20,tDatos[],9,0)</f>
        <v>Vancouver</v>
      </c>
      <c r="R20" s="240" t="str">
        <f>"  3)  " &amp; VLOOKUP(3,$AE$10:$AF$29,2,0)</f>
        <v xml:space="preserve">  3)  BOSNIA y HERZEG.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1</v>
      </c>
      <c r="Y20" s="248">
        <f>VLOOKUP(3,$AE$10:$AJ$29,6,0)</f>
        <v>1</v>
      </c>
      <c r="Z20" s="248">
        <f>VLOOKUP(3,$AE$10:$AK$29,7,0)</f>
        <v>5</v>
      </c>
      <c r="AA20" s="248">
        <f>VLOOKUP(3,$AE$10:$AL$29,8,0)</f>
        <v>6</v>
      </c>
      <c r="AB20" s="247">
        <f>Z20-AA20</f>
        <v>-1</v>
      </c>
      <c r="AC20" s="252">
        <f>(W20*3)+X20</f>
        <v>4</v>
      </c>
      <c r="AD20" s="223">
        <f>RANK(AO20,$AO$10:$AO$29,0)</f>
        <v>4</v>
      </c>
      <c r="AE20" s="223">
        <f>RANK(AP20,$AP$10:$AP$29,1)</f>
        <v>4</v>
      </c>
      <c r="AF20" s="223" t="str">
        <f>F12</f>
        <v>CATAR</v>
      </c>
      <c r="AG20" s="249">
        <f>3-COUNTIF(I34:K34,"")</f>
        <v>3</v>
      </c>
      <c r="AH20" s="223">
        <f>COUNTIF(I34:K34,"G")</f>
        <v>0</v>
      </c>
      <c r="AI20" s="223">
        <f>COUNTIF(I34:K34,"E")</f>
        <v>1</v>
      </c>
      <c r="AJ20" s="223">
        <f>COUNTIF(I34:K34,"P")</f>
        <v>2</v>
      </c>
      <c r="AK20" s="249">
        <f>SUM(I12,K20,K28)</f>
        <v>2</v>
      </c>
      <c r="AL20" s="249">
        <f>SUM(K12,I20,I28)</f>
        <v>10</v>
      </c>
      <c r="AM20" s="223">
        <f>AK20-AL20</f>
        <v>-8</v>
      </c>
      <c r="AN20" s="223">
        <f>(AH20*3)+AI20*vcp</f>
        <v>1</v>
      </c>
      <c r="AO20" s="223">
        <f>IF($AO$6&gt;0,AN20*10+1)</f>
        <v>11</v>
      </c>
      <c r="AP20" s="223">
        <f>IF(AF20=$R$38,BF20-100,IF(AF20=$R$37,BF20-200,IF(AF20=$R$36,BF20-300,BF20)))</f>
        <v>4</v>
      </c>
      <c r="AQ20" s="223" t="str">
        <f>IF(R38="",IF(SUM($V$10:$V$29)&gt;0,VLOOKUP(3,$AE$10:$AF$29,2,0),""),R38)</f>
        <v>BOSNIA y HERZEG.</v>
      </c>
      <c r="AR20" s="148" t="str">
        <f>F20&amp;N20</f>
        <v>CANADÁCATAR</v>
      </c>
      <c r="AS20" s="148" t="str">
        <f>IF(I20&gt;K20,F20,IF(K20&gt;I20,N20,""))</f>
        <v>CANADÁ</v>
      </c>
      <c r="AT20" s="149">
        <f>I20</f>
        <v>6</v>
      </c>
      <c r="AU20" s="149">
        <f>K20</f>
        <v>0</v>
      </c>
      <c r="AV20" s="149">
        <f>AT20-AU20</f>
        <v>6</v>
      </c>
      <c r="AW20" s="225">
        <f>RANK(AY20,$AY$10:$AY$29,0)</f>
        <v>4</v>
      </c>
      <c r="AX20" s="226">
        <f>IF(AND($AO$6&gt;0,$AP$6&gt;0),AN20*10000+AZ20,AO20)</f>
        <v>10000</v>
      </c>
      <c r="AY20" s="226">
        <f>IF(AND($AO$6&gt;0,$AP$6&gt;0),AN20*10000+AZ20-2,AO20)</f>
        <v>9998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4</v>
      </c>
      <c r="BB20" s="225">
        <f>AX20+BD20</f>
        <v>10000</v>
      </c>
      <c r="BC20" s="226">
        <f>AX20+BD20+1</f>
        <v>10001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10002.209999999999</v>
      </c>
      <c r="BF20" s="225">
        <f>RANK(BE20,$BE$10:$BE$29)</f>
        <v>4</v>
      </c>
      <c r="BG20" s="279">
        <f>BE20-0.01</f>
        <v>10002.199999999999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CATARCANADÁ</v>
      </c>
      <c r="AS21" s="148" t="str">
        <f>IF(I20&gt;K20,F20,IF(K20&gt;I20,N20,""))</f>
        <v>CANADÁ</v>
      </c>
      <c r="AT21" s="149">
        <f>K20</f>
        <v>0</v>
      </c>
      <c r="AU21" s="149">
        <f>I20</f>
        <v>6</v>
      </c>
      <c r="AV21" s="149">
        <f>AT21-AU21</f>
        <v>-6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49</v>
      </c>
      <c r="B24" s="196">
        <v>51</v>
      </c>
      <c r="C24" s="195">
        <f>VLOOKUP(A24,tDatos[],IF(UTCElegido="",3,12),0)</f>
        <v>46197</v>
      </c>
      <c r="D24" s="197">
        <f>VLOOKUP(A24,tDatos[],IF(UTCElegido="",4,12),0)</f>
        <v>0.625</v>
      </c>
      <c r="E24" s="18"/>
      <c r="F24" s="198" t="str">
        <f>VLOOKUP(A24,tDatos[],5,0)</f>
        <v>SUIZA</v>
      </c>
      <c r="G24" s="192" t="str">
        <f>IF(AND(I24&lt;&gt;"",K24&lt;&gt;""),IF(I24=K24,"E",IF(I24&gt;K24,"G","P")),"")</f>
        <v>G</v>
      </c>
      <c r="H24" s="20"/>
      <c r="I24" s="280">
        <f>IF(Ingreso!G297="","",Ingreso!G297)</f>
        <v>2</v>
      </c>
      <c r="J24" s="237" t="s">
        <v>0</v>
      </c>
      <c r="K24" s="280">
        <f>IF(Ingreso!J297="","",Ingreso!J297)</f>
        <v>1</v>
      </c>
      <c r="L24" s="192" t="str">
        <f>IF(AND(K24&lt;&gt;"",I24&lt;&gt;""),IF(K24=I24,"E",IF(K24&gt;I24,"G","P")),"")</f>
        <v>P</v>
      </c>
      <c r="M24" s="19"/>
      <c r="N24" s="193" t="str">
        <f>VLOOKUP(A24,tDatos[],6,0)</f>
        <v>CANADÁ</v>
      </c>
      <c r="O24" s="18"/>
      <c r="P24" s="218" t="str">
        <f>VLOOKUP(A24,tDatos[],9,0)</f>
        <v>Vancouver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SUIZACANADÁ</v>
      </c>
      <c r="AS24" s="148" t="str">
        <f>IF(I24&gt;K24,F24,IF(K24&gt;I24,N24,""))</f>
        <v>SUIZA</v>
      </c>
      <c r="AT24" s="149">
        <f>I24</f>
        <v>2</v>
      </c>
      <c r="AU24" s="149">
        <f>K24</f>
        <v>1</v>
      </c>
      <c r="AV24" s="149">
        <f>AT24-AU24</f>
        <v>1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CATAR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1</v>
      </c>
      <c r="Y25" s="248">
        <f>VLOOKUP(4,$AE$10:$AJ$29,6,0)</f>
        <v>2</v>
      </c>
      <c r="Z25" s="248">
        <f>VLOOKUP(4,$AE$10:$AK$29,7,0)</f>
        <v>2</v>
      </c>
      <c r="AA25" s="248">
        <f>VLOOKUP(4,$AE$10:$AL$29,8,0)</f>
        <v>10</v>
      </c>
      <c r="AB25" s="247">
        <f>Z25-AA25</f>
        <v>-8</v>
      </c>
      <c r="AC25" s="252">
        <f>(W25*3)+X25</f>
        <v>1</v>
      </c>
      <c r="AD25" s="223">
        <f>RANK(AO25,$AO$10:$AO$29,0)</f>
        <v>1</v>
      </c>
      <c r="AE25" s="223">
        <f>RANK(AP25,$AP$10:$AP$29,1)</f>
        <v>1</v>
      </c>
      <c r="AF25" s="223" t="str">
        <f>N12</f>
        <v>SUIZA</v>
      </c>
      <c r="AG25" s="249">
        <f>3-COUNTIF(I35:K35,"")</f>
        <v>3</v>
      </c>
      <c r="AH25" s="223">
        <f>COUNTIF(I35:K35,"G")</f>
        <v>2</v>
      </c>
      <c r="AI25" s="223">
        <f>COUNTIF(I35:K35,"E")</f>
        <v>1</v>
      </c>
      <c r="AJ25" s="223">
        <f>COUNTIF(I35:K35,"P")</f>
        <v>0</v>
      </c>
      <c r="AK25" s="249">
        <f>SUM(K12,I16,I24)</f>
        <v>7</v>
      </c>
      <c r="AL25" s="249">
        <f>SUM(I12,K16,K24)</f>
        <v>3</v>
      </c>
      <c r="AM25" s="223">
        <f>AK25-AL25</f>
        <v>4</v>
      </c>
      <c r="AN25" s="223">
        <f>(AH25*3)+AI25*vcp</f>
        <v>7</v>
      </c>
      <c r="AO25" s="223">
        <f>IF($AO$6&gt;0,AN25*10)</f>
        <v>70</v>
      </c>
      <c r="AP25" s="223">
        <f>IF(AF25=$R$38,BF25-100,IF(AF25=$R$37,BF25-200,IF(AF25=$R$36,BF25-300,BF25)))</f>
        <v>1</v>
      </c>
      <c r="AQ25" s="223" t="str">
        <f>IF(SUM($V$10:$V$29)&gt;0,VLOOKUP(4,$AE$10:$AF$29,2,0),"")</f>
        <v>CATAR</v>
      </c>
      <c r="AR25" s="148" t="str">
        <f>N24&amp;F24</f>
        <v>CANADÁSUIZA</v>
      </c>
      <c r="AS25" s="148" t="str">
        <f>IF(I24&gt;K24,F24,IF(K24&gt;I24,N24,""))</f>
        <v>SUIZA</v>
      </c>
      <c r="AT25" s="149">
        <f>K24</f>
        <v>1</v>
      </c>
      <c r="AU25" s="149">
        <f>I24</f>
        <v>2</v>
      </c>
      <c r="AV25" s="149">
        <f>AT25-AU25</f>
        <v>-1</v>
      </c>
      <c r="AW25" s="225">
        <f>RANK(AY25,$AY$10:$AY$29,0)</f>
        <v>1</v>
      </c>
      <c r="AX25" s="226">
        <f>IF(AND($AO$6&gt;0,$AP$6&gt;0),AN25*10000+AZ25,AO25)</f>
        <v>70000</v>
      </c>
      <c r="AY25" s="226">
        <f>IF(AND($AO$6&gt;0,$AP$6&gt;0),AN25*10000+AZ25-3,AO25)</f>
        <v>69997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1</v>
      </c>
      <c r="BB25" s="225">
        <f>AX25+BD25</f>
        <v>70000</v>
      </c>
      <c r="BC25" s="226">
        <f>AX25+BD25</f>
        <v>70000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70074.7</v>
      </c>
      <c r="BF25" s="225">
        <f>RANK(BE25,$BE$10:$BE$29)</f>
        <v>1</v>
      </c>
      <c r="BG25" s="279">
        <f>BE25</f>
        <v>70074.7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50</v>
      </c>
      <c r="B28" s="196">
        <v>52</v>
      </c>
      <c r="C28" s="195">
        <f>VLOOKUP(A28,tDatos[],IF(UTCElegido="",3,12),0)</f>
        <v>46197</v>
      </c>
      <c r="D28" s="197">
        <f>VLOOKUP(A28,tDatos[],IF(UTCElegido="",4,12),0)</f>
        <v>0.625</v>
      </c>
      <c r="E28" s="18"/>
      <c r="F28" s="198" t="str">
        <f>VLOOKUP(A28,tDatos[],5,0)</f>
        <v>BOSNIA y HERZEG.</v>
      </c>
      <c r="G28" s="192" t="str">
        <f>IF(AND(I28&lt;&gt;"",K28&lt;&gt;""),IF(I28=K28,"E",IF(I28&gt;K28,"G","P")),"")</f>
        <v>G</v>
      </c>
      <c r="H28" s="20"/>
      <c r="I28" s="280">
        <f>IF(Ingreso!G303="","",Ingreso!G303)</f>
        <v>3</v>
      </c>
      <c r="J28" s="237" t="s">
        <v>0</v>
      </c>
      <c r="K28" s="280">
        <f>IF(Ingreso!J303="","",Ingreso!J303)</f>
        <v>1</v>
      </c>
      <c r="L28" s="192" t="str">
        <f>IF(AND(K28&lt;&gt;"",I28&lt;&gt;""),IF(K28=I28,"E",IF(K28&gt;I28,"G","P")),"")</f>
        <v>P</v>
      </c>
      <c r="M28" s="19"/>
      <c r="N28" s="193" t="str">
        <f>VLOOKUP(A28,tDatos[],6,0)</f>
        <v>CATAR</v>
      </c>
      <c r="O28" s="18"/>
      <c r="P28" s="218" t="str">
        <f>VLOOKUP(A28,tDatos[],9,0)</f>
        <v>Seattle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BOSNIA y HERZEG.CATAR</v>
      </c>
      <c r="AS28" s="148" t="str">
        <f>IF(I28&gt;K28,F28,IF(K28&gt;I28,N28,""))</f>
        <v>BOSNIA y HERZEG.</v>
      </c>
      <c r="AT28" s="149">
        <f>I28</f>
        <v>3</v>
      </c>
      <c r="AU28" s="149">
        <f>K28</f>
        <v>1</v>
      </c>
      <c r="AV28" s="149">
        <f>AT28-AU28</f>
        <v>2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CATARBOSNIA y HERZEG.</v>
      </c>
      <c r="AS29" s="148" t="str">
        <f>IF(I28&gt;K28,F28,IF(K28&gt;I28,N28,""))</f>
        <v>BOSNIA y HERZEG.</v>
      </c>
      <c r="AT29" s="149">
        <f>K28</f>
        <v>1</v>
      </c>
      <c r="AU29" s="149">
        <f>I28</f>
        <v>3</v>
      </c>
      <c r="AV29" s="149">
        <f>AT29-AU29</f>
        <v>-2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CANADÁ</v>
      </c>
      <c r="I32" t="str">
        <f>G8</f>
        <v>E</v>
      </c>
      <c r="J32" t="str">
        <f>G20</f>
        <v>G</v>
      </c>
      <c r="K32" t="str">
        <f>L24</f>
        <v>P</v>
      </c>
    </row>
    <row r="33" spans="6:21" hidden="1" x14ac:dyDescent="0.25">
      <c r="F33" t="str">
        <f>N8</f>
        <v>BOSNIA y HERZEG.</v>
      </c>
      <c r="I33" t="str">
        <f>L8</f>
        <v>E</v>
      </c>
      <c r="J33" t="str">
        <f>L16</f>
        <v>P</v>
      </c>
      <c r="K33" t="str">
        <f>G28</f>
        <v>G</v>
      </c>
    </row>
    <row r="34" spans="6:21" hidden="1" x14ac:dyDescent="0.25">
      <c r="F34" t="str">
        <f>F12</f>
        <v>CATAR</v>
      </c>
      <c r="I34" t="str">
        <f>G12</f>
        <v>E</v>
      </c>
      <c r="J34" t="str">
        <f>L20</f>
        <v>P</v>
      </c>
      <c r="K34" t="str">
        <f>L28</f>
        <v>P</v>
      </c>
    </row>
    <row r="35" spans="6:21" hidden="1" x14ac:dyDescent="0.25">
      <c r="F35" t="str">
        <f>N12</f>
        <v>SUIZA</v>
      </c>
      <c r="I35" t="str">
        <f>L12</f>
        <v>E</v>
      </c>
      <c r="J35" t="str">
        <f>G16</f>
        <v>G</v>
      </c>
      <c r="K35" t="str">
        <f>G24</f>
        <v>G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956F5F10-6BD6-49CF-868D-6FD05D594F95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5B69-495C-47AA-9231-71C53FE3A879}">
  <sheetPr codeName="Hoja5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1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1</v>
      </c>
      <c r="AY6" s="147"/>
      <c r="BB6" s="147">
        <f>(BB10=BB15)+(BB15=BB20)+(BB20=BB25)+(BB10=BB20)+(BB15=BB25)+(BB10=BB25)</f>
        <v>1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6</v>
      </c>
      <c r="B8" s="196">
        <v>7</v>
      </c>
      <c r="C8" s="195">
        <f>VLOOKUP(A8,tDatos[],IF(UTCElegido="",3,12),0)</f>
        <v>46186</v>
      </c>
      <c r="D8" s="197">
        <f>VLOOKUP(A8,tDatos[],IF(UTCElegido="",4,12),0)</f>
        <v>0.75</v>
      </c>
      <c r="E8" s="18"/>
      <c r="F8" s="198" t="str">
        <f>VLOOKUP(A8,tDatos[],5,0)</f>
        <v>BRASIL</v>
      </c>
      <c r="G8" s="192" t="str">
        <f>IF(AND(I8&lt;&gt;"",K8&lt;&gt;""),IF(I8=K8,"E",IF(I8&gt;K8,"G","P")),"")</f>
        <v>E</v>
      </c>
      <c r="H8" s="20"/>
      <c r="I8" s="280">
        <f>IF(Ingreso!G39="","",Ingreso!G39)</f>
        <v>1</v>
      </c>
      <c r="J8" s="237" t="s">
        <v>0</v>
      </c>
      <c r="K8" s="280">
        <f>IF(Ingreso!J39="","",Ingreso!J39)</f>
        <v>1</v>
      </c>
      <c r="L8" s="192" t="str">
        <f>IF(AND(K8&lt;&gt;"",I8&lt;&gt;""),IF(K8=I8,"E",IF(K8&gt;I8,"G","P")),"")</f>
        <v>E</v>
      </c>
      <c r="M8" s="19"/>
      <c r="N8" s="193" t="str">
        <f>VLOOKUP(A8,tDatos[],6,0)</f>
        <v>MARRUECOS</v>
      </c>
      <c r="O8" s="18"/>
      <c r="P8" s="218" t="str">
        <f>VLOOKUP(A8,tDatos[],9,0)</f>
        <v>N. York/N. Jersey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BRASILMARRUECOS</v>
      </c>
      <c r="AS8" s="148" t="str">
        <f>IF(I8&gt;K8,F8,IF(K8&gt;I8,N8,""))</f>
        <v/>
      </c>
      <c r="AT8" s="149">
        <f>I8</f>
        <v>1</v>
      </c>
      <c r="AU8" s="149">
        <f>K8</f>
        <v>1</v>
      </c>
      <c r="AV8" s="149">
        <f>AT8-AU8</f>
        <v>0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MARRUECOSBRASIL</v>
      </c>
      <c r="AS9" s="148" t="str">
        <f>IF(I8&gt;K8,F8,IF(K8&gt;I8,N8,""))</f>
        <v/>
      </c>
      <c r="AT9" s="149">
        <f>K8</f>
        <v>1</v>
      </c>
      <c r="AU9" s="149">
        <f>I8</f>
        <v>1</v>
      </c>
      <c r="AV9" s="149">
        <f>AT9-AU9</f>
        <v>0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BRASIL</v>
      </c>
      <c r="S10" s="266"/>
      <c r="T10" s="266"/>
      <c r="U10" s="267"/>
      <c r="V10" s="274">
        <f>VLOOKUP(1,$AE$10:$AG$29,3,0)</f>
        <v>3</v>
      </c>
      <c r="W10" s="246">
        <f>VLOOKUP(1,$AE$10:$AH$29,4,0)</f>
        <v>2</v>
      </c>
      <c r="X10" s="246">
        <f>VLOOKUP(1,$AE$10:$AI$29,5,0)</f>
        <v>1</v>
      </c>
      <c r="Y10" s="246">
        <f>VLOOKUP(1,$AE$10:$AJ$29,6,0)</f>
        <v>0</v>
      </c>
      <c r="Z10" s="246">
        <f>VLOOKUP(1,$AE$10:$AK$29,7,0)</f>
        <v>7</v>
      </c>
      <c r="AA10" s="246">
        <f>VLOOKUP(1,$AE$10:$AL$29,8,0)</f>
        <v>1</v>
      </c>
      <c r="AB10" s="246">
        <f>Z10-AA10</f>
        <v>6</v>
      </c>
      <c r="AC10" s="275">
        <f>(W10*3)+X10</f>
        <v>7</v>
      </c>
      <c r="AD10" s="223">
        <f>RANK(AO10,$AO$10:$AO$29,0)</f>
        <v>1</v>
      </c>
      <c r="AE10" s="223">
        <f>RANK(AP10,$AP$10:$AP$29,1)</f>
        <v>1</v>
      </c>
      <c r="AF10" s="223" t="str">
        <f>F8</f>
        <v>BRASIL</v>
      </c>
      <c r="AG10" s="249">
        <f>3-COUNTIF(I32:K32,"")</f>
        <v>3</v>
      </c>
      <c r="AH10" s="223">
        <f>COUNTIF(I32:K32,"G")</f>
        <v>2</v>
      </c>
      <c r="AI10" s="223">
        <f>COUNTIF(I32:K32,"E")</f>
        <v>1</v>
      </c>
      <c r="AJ10" s="223">
        <f>COUNTIF(I32:K32,"P")</f>
        <v>0</v>
      </c>
      <c r="AK10" s="223">
        <f>SUM(I8,I20,K24)</f>
        <v>7</v>
      </c>
      <c r="AL10" s="223">
        <f>SUM(K8,K20,I24)</f>
        <v>1</v>
      </c>
      <c r="AM10" s="223">
        <f>AK10-AL10</f>
        <v>6</v>
      </c>
      <c r="AN10" s="223">
        <f>(AH10*3)+AI10*vcp</f>
        <v>7</v>
      </c>
      <c r="AO10" s="223">
        <f>IF($AO$6&gt;0,AN10*10+3)</f>
        <v>73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BRASIL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70000</v>
      </c>
      <c r="AY10" s="226">
        <f>IF(AND($AO$6&gt;0,$AP$6&gt;0),AN10*10000+AZ10,AO10)</f>
        <v>70000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70000</v>
      </c>
      <c r="BC10" s="226">
        <f>AX10+BD10+3</f>
        <v>70003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70076.73</v>
      </c>
      <c r="BF10" s="225">
        <f>RANK(BE10,$BE$10:$BE$29)</f>
        <v>1</v>
      </c>
      <c r="BG10" s="279">
        <f>BE10-0.03</f>
        <v>70076.7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7</v>
      </c>
      <c r="B12" s="196">
        <v>5</v>
      </c>
      <c r="C12" s="195">
        <f>VLOOKUP(A12,tDatos[],IF(UTCElegido="",3,12),0)</f>
        <v>46186</v>
      </c>
      <c r="D12" s="197">
        <f>VLOOKUP(A12,tDatos[],IF(UTCElegido="",4,12),0)</f>
        <v>0.875</v>
      </c>
      <c r="E12" s="18"/>
      <c r="F12" s="198" t="str">
        <f>VLOOKUP(A12,tDatos[],5,0)</f>
        <v>HAITÍ</v>
      </c>
      <c r="G12" s="192" t="str">
        <f>IF(AND(I12&lt;&gt;"",K12&lt;&gt;""),IF(I12=K12,"E",IF(I12&gt;K12,"G","P")),"")</f>
        <v>P</v>
      </c>
      <c r="H12" s="20"/>
      <c r="I12" s="280">
        <f>IF(Ingreso!G45="","",Ingreso!G45)</f>
        <v>0</v>
      </c>
      <c r="J12" s="237" t="s">
        <v>0</v>
      </c>
      <c r="K12" s="280">
        <f>IF(Ingreso!J45="","",Ingreso!J45)</f>
        <v>1</v>
      </c>
      <c r="L12" s="192" t="str">
        <f>IF(AND(K12&lt;&gt;"",I12&lt;&gt;""),IF(K12=I12,"E",IF(K12&gt;I12,"G","P")),"")</f>
        <v>G</v>
      </c>
      <c r="M12" s="19"/>
      <c r="N12" s="193" t="str">
        <f>VLOOKUP(A12,tDatos[],6,0)</f>
        <v>ESCOCIA</v>
      </c>
      <c r="O12" s="18"/>
      <c r="P12" s="218" t="str">
        <f>VLOOKUP(A12,tDatos[],9,0)</f>
        <v>Boston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HAITÍESCOCIA</v>
      </c>
      <c r="AS12" s="148" t="str">
        <f>IF(I12&gt;K12,F12,IF(K12&gt;I12,N12,""))</f>
        <v>ESCOCIA</v>
      </c>
      <c r="AT12" s="149">
        <f>I12</f>
        <v>0</v>
      </c>
      <c r="AU12" s="149">
        <f>K12</f>
        <v>1</v>
      </c>
      <c r="AV12" s="149">
        <f>AT12-AU12</f>
        <v>-1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ESCOCIAHAITÍ</v>
      </c>
      <c r="AS13" s="148" t="str">
        <f>IF(I12&gt;K12,F12,IF(K12&gt;I12,N12,""))</f>
        <v>ESCOCIA</v>
      </c>
      <c r="AT13" s="149">
        <f>K12</f>
        <v>1</v>
      </c>
      <c r="AU13" s="149">
        <f>I12</f>
        <v>0</v>
      </c>
      <c r="AV13" s="149">
        <f>AT13-AU13</f>
        <v>1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MARRUECOS</v>
      </c>
      <c r="S15" s="266"/>
      <c r="T15" s="266"/>
      <c r="U15" s="267"/>
      <c r="V15" s="274">
        <f>VLOOKUP(2,$AE$10:$AG$29,3,0)</f>
        <v>3</v>
      </c>
      <c r="W15" s="246">
        <f>VLOOKUP(2,$AE$10:$AH$29,4,0)</f>
        <v>2</v>
      </c>
      <c r="X15" s="246">
        <f>VLOOKUP(2,$AE$10:$AI$29,5,0)</f>
        <v>1</v>
      </c>
      <c r="Y15" s="246">
        <f>VLOOKUP(2,$AE$10:$AJ$29,6,0)</f>
        <v>0</v>
      </c>
      <c r="Z15" s="246">
        <f>VLOOKUP(2,$AE$10:$AK$29,7,0)</f>
        <v>6</v>
      </c>
      <c r="AA15" s="246">
        <f>VLOOKUP(2,$AE$10:$AL$29,8,0)</f>
        <v>3</v>
      </c>
      <c r="AB15" s="246">
        <f>Z15-AA15</f>
        <v>3</v>
      </c>
      <c r="AC15" s="275">
        <f>(W15*3)+X15</f>
        <v>7</v>
      </c>
      <c r="AD15" s="223">
        <f>RANK(AO15,$AO$10:$AO$29,0)</f>
        <v>2</v>
      </c>
      <c r="AE15" s="223">
        <f>RANK(AP15,$AP$10:$AP$29,1)</f>
        <v>2</v>
      </c>
      <c r="AF15" s="223" t="str">
        <f>N8</f>
        <v>MARRUECOS</v>
      </c>
      <c r="AG15" s="249">
        <f>3-COUNTIF(I33:K33,"")</f>
        <v>3</v>
      </c>
      <c r="AH15" s="223">
        <f>COUNTIF(I33:K33,"G")</f>
        <v>2</v>
      </c>
      <c r="AI15" s="223">
        <f>COUNTIF(I33:K33,"E")</f>
        <v>1</v>
      </c>
      <c r="AJ15" s="223">
        <f>COUNTIF(I33:K33,"P")</f>
        <v>0</v>
      </c>
      <c r="AK15" s="249">
        <f>SUM(K8,K16,I28)</f>
        <v>6</v>
      </c>
      <c r="AL15" s="223">
        <f>SUM(I8,I16,K28)</f>
        <v>3</v>
      </c>
      <c r="AM15" s="223">
        <f>AK15-AL15</f>
        <v>3</v>
      </c>
      <c r="AN15" s="223">
        <f>(AH15*3)+AI15*vcp</f>
        <v>7</v>
      </c>
      <c r="AO15" s="223">
        <f>IF($AO$6&gt;0,AN15*10+2)</f>
        <v>72</v>
      </c>
      <c r="AP15" s="223">
        <f>IF(AF15=$R$38,BF15-100,IF(AF15=$R$37,BF15-200,IF(AF15=$R$36,BF15-300,BF15)))</f>
        <v>2</v>
      </c>
      <c r="AQ15" s="223" t="str">
        <f>IF(R37="",IF(SUM($V$10:$V$29)&gt;0,VLOOKUP(2,$AE$10:$AF$29,2,0),""),R37)</f>
        <v>MARRUECOS</v>
      </c>
      <c r="AR15" s="151"/>
      <c r="AS15" s="148"/>
      <c r="AT15" s="148"/>
      <c r="AU15" s="148"/>
      <c r="AV15" s="152"/>
      <c r="AW15" s="225">
        <f>RANK(AY15,$AY$10:$AY$29,0)</f>
        <v>2</v>
      </c>
      <c r="AX15" s="226">
        <f>IF(AND($AO$6&gt;0,$AP$6&gt;0),AN15*10000+AZ15,AO15)</f>
        <v>70000</v>
      </c>
      <c r="AY15" s="226">
        <f>IF(AND($AO$6&gt;0,$AP$6&gt;0),AN15*10000+AZ15-1,AO15)</f>
        <v>69999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1</v>
      </c>
      <c r="BB15" s="225">
        <f>AX15+BD15</f>
        <v>70000</v>
      </c>
      <c r="BC15" s="226">
        <f>AX15+BD15+2</f>
        <v>70002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70073.62</v>
      </c>
      <c r="BF15" s="225">
        <f>RANK(BE15,$BE$10:$BE$29)</f>
        <v>2</v>
      </c>
      <c r="BG15" s="279">
        <f>BE15-0.02</f>
        <v>70073.599999999991</v>
      </c>
      <c r="BH15" s="279">
        <f>COUNTIF($BG$10:$BG$29,BG15)</f>
        <v>1</v>
      </c>
    </row>
    <row r="16" spans="1:60" ht="7.5" customHeight="1" x14ac:dyDescent="0.25">
      <c r="A16" s="229">
        <v>30</v>
      </c>
      <c r="B16" s="196">
        <v>30</v>
      </c>
      <c r="C16" s="195">
        <f>VLOOKUP(A16,tDatos[],IF(UTCElegido="",3,12),0)</f>
        <v>46192</v>
      </c>
      <c r="D16" s="197">
        <f>VLOOKUP(A16,tDatos[],IF(UTCElegido="",4,12),0)</f>
        <v>0.75</v>
      </c>
      <c r="E16" s="18"/>
      <c r="F16" s="198" t="str">
        <f>VLOOKUP(A16,tDatos[],5,0)</f>
        <v>ESCOCIA</v>
      </c>
      <c r="G16" s="192" t="str">
        <f>IF(AND(I16&lt;&gt;"",K16&lt;&gt;""),IF(I16=K16,"E",IF(I16&gt;K16,"G","P")),"")</f>
        <v>P</v>
      </c>
      <c r="H16" s="20"/>
      <c r="I16" s="280">
        <f>IF(Ingreso!G183="","",Ingreso!G183)</f>
        <v>0</v>
      </c>
      <c r="J16" s="237" t="s">
        <v>0</v>
      </c>
      <c r="K16" s="280">
        <f>IF(Ingreso!J183="","",Ingreso!J183)</f>
        <v>1</v>
      </c>
      <c r="L16" s="192" t="str">
        <f>IF(AND(K16&lt;&gt;"",I16&lt;&gt;""),IF(K16=I16,"E",IF(K16&gt;I16,"G","P")),"")</f>
        <v>G</v>
      </c>
      <c r="M16" s="19"/>
      <c r="N16" s="193" t="str">
        <f>VLOOKUP(A16,tDatos[],6,0)</f>
        <v>MARRUECOS</v>
      </c>
      <c r="O16" s="18"/>
      <c r="P16" s="218" t="str">
        <f>VLOOKUP(A16,tDatos[],9,0)</f>
        <v>Boston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ESCOCIAMARRUECOS</v>
      </c>
      <c r="AS16" s="148" t="str">
        <f>IF(I16&gt;K16,F16,IF(K16&gt;I16,N16,""))</f>
        <v>MARRUECOS</v>
      </c>
      <c r="AT16" s="149">
        <f>I16</f>
        <v>0</v>
      </c>
      <c r="AU16" s="149">
        <f>K16</f>
        <v>1</v>
      </c>
      <c r="AV16" s="149">
        <f>AT16-AU16</f>
        <v>-1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MARRUECOSESCOCIA</v>
      </c>
      <c r="AS17" s="148" t="str">
        <f>IF(I16&gt;K16,F16,IF(K16&gt;I16,N16,""))</f>
        <v>MARRUECOS</v>
      </c>
      <c r="AT17" s="149">
        <f>K16</f>
        <v>1</v>
      </c>
      <c r="AU17" s="149">
        <f>I16</f>
        <v>0</v>
      </c>
      <c r="AV17" s="149">
        <f>AT17-AU17</f>
        <v>1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31</v>
      </c>
      <c r="B20" s="196">
        <v>29</v>
      </c>
      <c r="C20" s="195">
        <f>VLOOKUP(A20,tDatos[],IF(UTCElegido="",3,12),0)</f>
        <v>46192</v>
      </c>
      <c r="D20" s="197">
        <f>VLOOKUP(A20,tDatos[],IF(UTCElegido="",4,12),0)</f>
        <v>0.85416666666666663</v>
      </c>
      <c r="E20" s="18"/>
      <c r="F20" s="198" t="str">
        <f>VLOOKUP(A20,tDatos[],5,0)</f>
        <v>BRASIL</v>
      </c>
      <c r="G20" s="192" t="str">
        <f>IF(AND(I20&lt;&gt;"",K20&lt;&gt;""),IF(I20=K20,"E",IF(I20&gt;K20,"G","P")),"")</f>
        <v>G</v>
      </c>
      <c r="H20" s="20"/>
      <c r="I20" s="280">
        <f>IF(Ingreso!G189="","",Ingreso!G189)</f>
        <v>3</v>
      </c>
      <c r="J20" s="237" t="s">
        <v>0</v>
      </c>
      <c r="K20" s="280">
        <f>IF(Ingreso!J189="","",Ingreso!J189)</f>
        <v>0</v>
      </c>
      <c r="L20" s="192" t="str">
        <f>IF(AND(K20&lt;&gt;"",I20&lt;&gt;""),IF(K20=I20,"E",IF(K20&gt;I20,"G","P")),"")</f>
        <v>P</v>
      </c>
      <c r="M20" s="19"/>
      <c r="N20" s="193" t="str">
        <f>VLOOKUP(A20,tDatos[],6,0)</f>
        <v>HAITÍ</v>
      </c>
      <c r="O20" s="18"/>
      <c r="P20" s="218" t="str">
        <f>VLOOKUP(A20,tDatos[],9,0)</f>
        <v>Filadelfia</v>
      </c>
      <c r="R20" s="240" t="str">
        <f>"  3)  " &amp; VLOOKUP(3,$AE$10:$AF$29,2,0)</f>
        <v xml:space="preserve">  3)  ESCOCIA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0</v>
      </c>
      <c r="Y20" s="248">
        <f>VLOOKUP(3,$AE$10:$AJ$29,6,0)</f>
        <v>2</v>
      </c>
      <c r="Z20" s="248">
        <f>VLOOKUP(3,$AE$10:$AK$29,7,0)</f>
        <v>1</v>
      </c>
      <c r="AA20" s="248">
        <f>VLOOKUP(3,$AE$10:$AL$29,8,0)</f>
        <v>4</v>
      </c>
      <c r="AB20" s="247">
        <f>Z20-AA20</f>
        <v>-3</v>
      </c>
      <c r="AC20" s="252">
        <f>(W20*3)+X20</f>
        <v>3</v>
      </c>
      <c r="AD20" s="223">
        <f>RANK(AO20,$AO$10:$AO$29,0)</f>
        <v>4</v>
      </c>
      <c r="AE20" s="223">
        <f>RANK(AP20,$AP$10:$AP$29,1)</f>
        <v>4</v>
      </c>
      <c r="AF20" s="223" t="str">
        <f>F12</f>
        <v>HAITÍ</v>
      </c>
      <c r="AG20" s="249">
        <f>3-COUNTIF(I34:K34,"")</f>
        <v>3</v>
      </c>
      <c r="AH20" s="223">
        <f>COUNTIF(I34:K34,"G")</f>
        <v>0</v>
      </c>
      <c r="AI20" s="223">
        <f>COUNTIF(I34:K34,"E")</f>
        <v>0</v>
      </c>
      <c r="AJ20" s="223">
        <f>COUNTIF(I34:K34,"P")</f>
        <v>3</v>
      </c>
      <c r="AK20" s="249">
        <f>SUM(I12,K20,K28)</f>
        <v>2</v>
      </c>
      <c r="AL20" s="249">
        <f>SUM(K12,I20,I28)</f>
        <v>8</v>
      </c>
      <c r="AM20" s="223">
        <f>AK20-AL20</f>
        <v>-6</v>
      </c>
      <c r="AN20" s="223">
        <f>(AH20*3)+AI20*vcp</f>
        <v>0</v>
      </c>
      <c r="AO20" s="223">
        <f>IF($AO$6&gt;0,AN20*10+1)</f>
        <v>1</v>
      </c>
      <c r="AP20" s="223">
        <f>IF(AF20=$R$38,BF20-100,IF(AF20=$R$37,BF20-200,IF(AF20=$R$36,BF20-300,BF20)))</f>
        <v>4</v>
      </c>
      <c r="AQ20" s="223" t="str">
        <f>IF(R38="",IF(SUM($V$10:$V$29)&gt;0,VLOOKUP(3,$AE$10:$AF$29,2,0),""),R38)</f>
        <v>ESCOCIA</v>
      </c>
      <c r="AR20" s="148" t="str">
        <f>F20&amp;N20</f>
        <v>BRASILHAITÍ</v>
      </c>
      <c r="AS20" s="148" t="str">
        <f>IF(I20&gt;K20,F20,IF(K20&gt;I20,N20,""))</f>
        <v>BRASIL</v>
      </c>
      <c r="AT20" s="149">
        <f>I20</f>
        <v>3</v>
      </c>
      <c r="AU20" s="149">
        <f>K20</f>
        <v>0</v>
      </c>
      <c r="AV20" s="149">
        <f>AT20-AU20</f>
        <v>3</v>
      </c>
      <c r="AW20" s="225">
        <f>RANK(AY20,$AY$10:$AY$29,0)</f>
        <v>4</v>
      </c>
      <c r="AX20" s="226">
        <f>IF(AND($AO$6&gt;0,$AP$6&gt;0),AN20*10000+AZ20,AO20)</f>
        <v>0</v>
      </c>
      <c r="AY20" s="226">
        <f>IF(AND($AO$6&gt;0,$AP$6&gt;0),AN20*10000+AZ20-2,AO20)</f>
        <v>-2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4</v>
      </c>
      <c r="BB20" s="225">
        <f>AX20+BD20</f>
        <v>0</v>
      </c>
      <c r="BC20" s="226">
        <f>AX20+BD20+1</f>
        <v>1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-5.79</v>
      </c>
      <c r="BF20" s="225">
        <f>RANK(BE20,$BE$10:$BE$29)</f>
        <v>4</v>
      </c>
      <c r="BG20" s="279">
        <f>BE20-0.01</f>
        <v>-5.8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HAITÍBRASIL</v>
      </c>
      <c r="AS21" s="148" t="str">
        <f>IF(I20&gt;K20,F20,IF(K20&gt;I20,N20,""))</f>
        <v>BRASIL</v>
      </c>
      <c r="AT21" s="149">
        <f>K20</f>
        <v>0</v>
      </c>
      <c r="AU21" s="149">
        <f>I20</f>
        <v>3</v>
      </c>
      <c r="AV21" s="149">
        <f>AT21-AU21</f>
        <v>-3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51</v>
      </c>
      <c r="B24" s="196">
        <v>49</v>
      </c>
      <c r="C24" s="195">
        <f>VLOOKUP(A24,tDatos[],IF(UTCElegido="",3,12),0)</f>
        <v>46197</v>
      </c>
      <c r="D24" s="197">
        <f>VLOOKUP(A24,tDatos[],IF(UTCElegido="",4,12),0)</f>
        <v>0.75</v>
      </c>
      <c r="E24" s="18"/>
      <c r="F24" s="198" t="str">
        <f>VLOOKUP(A24,tDatos[],5,0)</f>
        <v>ESCOCIA</v>
      </c>
      <c r="G24" s="192" t="str">
        <f>IF(AND(I24&lt;&gt;"",K24&lt;&gt;""),IF(I24=K24,"E",IF(I24&gt;K24,"G","P")),"")</f>
        <v>P</v>
      </c>
      <c r="H24" s="20"/>
      <c r="I24" s="280">
        <f>IF(Ingreso!G309="","",Ingreso!G309)</f>
        <v>0</v>
      </c>
      <c r="J24" s="237" t="s">
        <v>0</v>
      </c>
      <c r="K24" s="280">
        <f>IF(Ingreso!J309="","",Ingreso!J309)</f>
        <v>3</v>
      </c>
      <c r="L24" s="192" t="str">
        <f>IF(AND(K24&lt;&gt;"",I24&lt;&gt;""),IF(K24=I24,"E",IF(K24&gt;I24,"G","P")),"")</f>
        <v>G</v>
      </c>
      <c r="M24" s="19"/>
      <c r="N24" s="193" t="str">
        <f>VLOOKUP(A24,tDatos[],6,0)</f>
        <v>BRASIL</v>
      </c>
      <c r="O24" s="18"/>
      <c r="P24" s="218" t="str">
        <f>VLOOKUP(A24,tDatos[],9,0)</f>
        <v>Miami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ESCOCIABRASIL</v>
      </c>
      <c r="AS24" s="148" t="str">
        <f>IF(I24&gt;K24,F24,IF(K24&gt;I24,N24,""))</f>
        <v>BRASIL</v>
      </c>
      <c r="AT24" s="149">
        <f>I24</f>
        <v>0</v>
      </c>
      <c r="AU24" s="149">
        <f>K24</f>
        <v>3</v>
      </c>
      <c r="AV24" s="149">
        <f>AT24-AU24</f>
        <v>-3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HAITÍ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0</v>
      </c>
      <c r="Y25" s="248">
        <f>VLOOKUP(4,$AE$10:$AJ$29,6,0)</f>
        <v>3</v>
      </c>
      <c r="Z25" s="248">
        <f>VLOOKUP(4,$AE$10:$AK$29,7,0)</f>
        <v>2</v>
      </c>
      <c r="AA25" s="248">
        <f>VLOOKUP(4,$AE$10:$AL$29,8,0)</f>
        <v>8</v>
      </c>
      <c r="AB25" s="247">
        <f>Z25-AA25</f>
        <v>-6</v>
      </c>
      <c r="AC25" s="252">
        <f>(W25*3)+X25</f>
        <v>0</v>
      </c>
      <c r="AD25" s="223">
        <f>RANK(AO25,$AO$10:$AO$29,0)</f>
        <v>3</v>
      </c>
      <c r="AE25" s="223">
        <f>RANK(AP25,$AP$10:$AP$29,1)</f>
        <v>3</v>
      </c>
      <c r="AF25" s="223" t="str">
        <f>N12</f>
        <v>ESCOCIA</v>
      </c>
      <c r="AG25" s="249">
        <f>3-COUNTIF(I35:K35,"")</f>
        <v>3</v>
      </c>
      <c r="AH25" s="223">
        <f>COUNTIF(I35:K35,"G")</f>
        <v>1</v>
      </c>
      <c r="AI25" s="223">
        <f>COUNTIF(I35:K35,"E")</f>
        <v>0</v>
      </c>
      <c r="AJ25" s="223">
        <f>COUNTIF(I35:K35,"P")</f>
        <v>2</v>
      </c>
      <c r="AK25" s="249">
        <f>SUM(K12,I16,I24)</f>
        <v>1</v>
      </c>
      <c r="AL25" s="249">
        <f>SUM(I12,K16,K24)</f>
        <v>4</v>
      </c>
      <c r="AM25" s="223">
        <f>AK25-AL25</f>
        <v>-3</v>
      </c>
      <c r="AN25" s="223">
        <f>(AH25*3)+AI25*vcp</f>
        <v>3</v>
      </c>
      <c r="AO25" s="223">
        <f>IF($AO$6&gt;0,AN25*10)</f>
        <v>30</v>
      </c>
      <c r="AP25" s="223">
        <f>IF(AF25=$R$38,BF25-100,IF(AF25=$R$37,BF25-200,IF(AF25=$R$36,BF25-300,BF25)))</f>
        <v>3</v>
      </c>
      <c r="AQ25" s="223" t="str">
        <f>IF(SUM($V$10:$V$29)&gt;0,VLOOKUP(4,$AE$10:$AF$29,2,0),"")</f>
        <v>HAITÍ</v>
      </c>
      <c r="AR25" s="148" t="str">
        <f>N24&amp;F24</f>
        <v>BRASILESCOCIA</v>
      </c>
      <c r="AS25" s="148" t="str">
        <f>IF(I24&gt;K24,F24,IF(K24&gt;I24,N24,""))</f>
        <v>BRASIL</v>
      </c>
      <c r="AT25" s="149">
        <f>K24</f>
        <v>3</v>
      </c>
      <c r="AU25" s="149">
        <f>I24</f>
        <v>0</v>
      </c>
      <c r="AV25" s="149">
        <f>AT25-AU25</f>
        <v>3</v>
      </c>
      <c r="AW25" s="225">
        <f>RANK(AY25,$AY$10:$AY$29,0)</f>
        <v>3</v>
      </c>
      <c r="AX25" s="226">
        <f>IF(AND($AO$6&gt;0,$AP$6&gt;0),AN25*10000+AZ25,AO25)</f>
        <v>30000</v>
      </c>
      <c r="AY25" s="226">
        <f>IF(AND($AO$6&gt;0,$AP$6&gt;0),AN25*10000+AZ25-3,AO25)</f>
        <v>29997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3</v>
      </c>
      <c r="BB25" s="225">
        <f>AX25+BD25</f>
        <v>30000</v>
      </c>
      <c r="BC25" s="226">
        <f>AX25+BD25</f>
        <v>30000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30027.1</v>
      </c>
      <c r="BF25" s="225">
        <f>RANK(BE25,$BE$10:$BE$29)</f>
        <v>3</v>
      </c>
      <c r="BG25" s="279">
        <f>BE25</f>
        <v>30027.1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52</v>
      </c>
      <c r="B28" s="196">
        <v>50</v>
      </c>
      <c r="C28" s="195">
        <f>VLOOKUP(A28,tDatos[],IF(UTCElegido="",3,12),0)</f>
        <v>46197</v>
      </c>
      <c r="D28" s="197">
        <f>VLOOKUP(A28,tDatos[],IF(UTCElegido="",4,12),0)</f>
        <v>0.75</v>
      </c>
      <c r="E28" s="18"/>
      <c r="F28" s="198" t="str">
        <f>VLOOKUP(A28,tDatos[],5,0)</f>
        <v>MARRUECOS</v>
      </c>
      <c r="G28" s="192" t="str">
        <f>IF(AND(I28&lt;&gt;"",K28&lt;&gt;""),IF(I28=K28,"E",IF(I28&gt;K28,"G","P")),"")</f>
        <v>G</v>
      </c>
      <c r="H28" s="20"/>
      <c r="I28" s="280">
        <f>IF(Ingreso!G315="","",Ingreso!G315)</f>
        <v>4</v>
      </c>
      <c r="J28" s="237" t="s">
        <v>0</v>
      </c>
      <c r="K28" s="280">
        <f>IF(Ingreso!J315="","",Ingreso!J315)</f>
        <v>2</v>
      </c>
      <c r="L28" s="192" t="str">
        <f>IF(AND(K28&lt;&gt;"",I28&lt;&gt;""),IF(K28=I28,"E",IF(K28&gt;I28,"G","P")),"")</f>
        <v>P</v>
      </c>
      <c r="M28" s="19"/>
      <c r="N28" s="193" t="str">
        <f>VLOOKUP(A28,tDatos[],6,0)</f>
        <v>HAITÍ</v>
      </c>
      <c r="O28" s="18"/>
      <c r="P28" s="218" t="str">
        <f>VLOOKUP(A28,tDatos[],9,0)</f>
        <v>Atlanta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MARRUECOSHAITÍ</v>
      </c>
      <c r="AS28" s="148" t="str">
        <f>IF(I28&gt;K28,F28,IF(K28&gt;I28,N28,""))</f>
        <v>MARRUECOS</v>
      </c>
      <c r="AT28" s="149">
        <f>I28</f>
        <v>4</v>
      </c>
      <c r="AU28" s="149">
        <f>K28</f>
        <v>2</v>
      </c>
      <c r="AV28" s="149">
        <f>AT28-AU28</f>
        <v>2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HAITÍMARRUECOS</v>
      </c>
      <c r="AS29" s="148" t="str">
        <f>IF(I28&gt;K28,F28,IF(K28&gt;I28,N28,""))</f>
        <v>MARRUECOS</v>
      </c>
      <c r="AT29" s="149">
        <f>K28</f>
        <v>2</v>
      </c>
      <c r="AU29" s="149">
        <f>I28</f>
        <v>4</v>
      </c>
      <c r="AV29" s="149">
        <f>AT29-AU29</f>
        <v>-2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BRASIL</v>
      </c>
      <c r="I32" t="str">
        <f>G8</f>
        <v>E</v>
      </c>
      <c r="J32" t="str">
        <f>G20</f>
        <v>G</v>
      </c>
      <c r="K32" t="str">
        <f>L24</f>
        <v>G</v>
      </c>
    </row>
    <row r="33" spans="6:21" hidden="1" x14ac:dyDescent="0.25">
      <c r="F33" t="str">
        <f>N8</f>
        <v>MARRUECOS</v>
      </c>
      <c r="I33" t="str">
        <f>L8</f>
        <v>E</v>
      </c>
      <c r="J33" t="str">
        <f>L16</f>
        <v>G</v>
      </c>
      <c r="K33" t="str">
        <f>G28</f>
        <v>G</v>
      </c>
    </row>
    <row r="34" spans="6:21" hidden="1" x14ac:dyDescent="0.25">
      <c r="F34" t="str">
        <f>F12</f>
        <v>HAITÍ</v>
      </c>
      <c r="I34" t="str">
        <f>G12</f>
        <v>P</v>
      </c>
      <c r="J34" t="str">
        <f>L20</f>
        <v>P</v>
      </c>
      <c r="K34" t="str">
        <f>L28</f>
        <v>P</v>
      </c>
    </row>
    <row r="35" spans="6:21" hidden="1" x14ac:dyDescent="0.25">
      <c r="F35" t="str">
        <f>N12</f>
        <v>ESCOCIA</v>
      </c>
      <c r="I35" t="str">
        <f>L12</f>
        <v>G</v>
      </c>
      <c r="J35" t="str">
        <f>G16</f>
        <v>P</v>
      </c>
      <c r="K35" t="str">
        <f>G24</f>
        <v>P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C941E7AD-F030-464C-AC39-C91AB2F82905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BD46-C853-49F4-AB2E-E21945348FC0}">
  <sheetPr codeName="Hoja6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1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1</v>
      </c>
      <c r="AY6" s="147"/>
      <c r="BB6" s="147">
        <f>(BB10=BB15)+(BB15=BB20)+(BB20=BB25)+(BB10=BB20)+(BB15=BB25)+(BB10=BB25)</f>
        <v>1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4</v>
      </c>
      <c r="B8" s="196">
        <v>4</v>
      </c>
      <c r="C8" s="195">
        <f>VLOOKUP(A8,tDatos[],IF(UTCElegido="",3,12),0)</f>
        <v>46185</v>
      </c>
      <c r="D8" s="197">
        <f>VLOOKUP(A8,tDatos[],IF(UTCElegido="",4,12),0)</f>
        <v>0.875</v>
      </c>
      <c r="E8" s="18"/>
      <c r="F8" s="198" t="str">
        <f>VLOOKUP(A8,tDatos[],5,0)</f>
        <v>ESTADOS UNIDOS</v>
      </c>
      <c r="G8" s="192" t="str">
        <f>IF(AND(I8&lt;&gt;"",K8&lt;&gt;""),IF(I8=K8,"E",IF(I8&gt;K8,"G","P")),"")</f>
        <v>G</v>
      </c>
      <c r="H8" s="20"/>
      <c r="I8" s="280">
        <f>IF(Ingreso!G27="","",Ingreso!G27)</f>
        <v>4</v>
      </c>
      <c r="J8" s="237" t="s">
        <v>0</v>
      </c>
      <c r="K8" s="280">
        <f>IF(Ingreso!J27="","",Ingreso!J27)</f>
        <v>1</v>
      </c>
      <c r="L8" s="192" t="str">
        <f>IF(AND(K8&lt;&gt;"",I8&lt;&gt;""),IF(K8=I8,"E",IF(K8&gt;I8,"G","P")),"")</f>
        <v>P</v>
      </c>
      <c r="M8" s="19"/>
      <c r="N8" s="193" t="str">
        <f>VLOOKUP(A8,tDatos[],6,0)</f>
        <v>PARAGUAY</v>
      </c>
      <c r="O8" s="18"/>
      <c r="P8" s="218" t="str">
        <f>VLOOKUP(A8,tDatos[],9,0)</f>
        <v>Los Angeles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ESTADOS UNIDOSPARAGUAY</v>
      </c>
      <c r="AS8" s="148" t="str">
        <f>IF(I8&gt;K8,F8,IF(K8&gt;I8,N8,""))</f>
        <v>ESTADOS UNIDOS</v>
      </c>
      <c r="AT8" s="149">
        <f>I8</f>
        <v>4</v>
      </c>
      <c r="AU8" s="149">
        <f>K8</f>
        <v>1</v>
      </c>
      <c r="AV8" s="149">
        <f>AT8-AU8</f>
        <v>3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PARAGUAYESTADOS UNIDOS</v>
      </c>
      <c r="AS9" s="148" t="str">
        <f>IF(I8&gt;K8,F8,IF(K8&gt;I8,N8,""))</f>
        <v>ESTADOS UNIDOS</v>
      </c>
      <c r="AT9" s="149">
        <f>K8</f>
        <v>1</v>
      </c>
      <c r="AU9" s="149">
        <f>I8</f>
        <v>4</v>
      </c>
      <c r="AV9" s="149">
        <f>AT9-AU9</f>
        <v>-3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ESTADOS UNIDOS</v>
      </c>
      <c r="S10" s="266"/>
      <c r="T10" s="266"/>
      <c r="U10" s="267"/>
      <c r="V10" s="274">
        <f>VLOOKUP(1,$AE$10:$AG$29,3,0)</f>
        <v>3</v>
      </c>
      <c r="W10" s="246">
        <f>VLOOKUP(1,$AE$10:$AH$29,4,0)</f>
        <v>2</v>
      </c>
      <c r="X10" s="246">
        <f>VLOOKUP(1,$AE$10:$AI$29,5,0)</f>
        <v>0</v>
      </c>
      <c r="Y10" s="246">
        <f>VLOOKUP(1,$AE$10:$AJ$29,6,0)</f>
        <v>1</v>
      </c>
      <c r="Z10" s="246">
        <f>VLOOKUP(1,$AE$10:$AK$29,7,0)</f>
        <v>8</v>
      </c>
      <c r="AA10" s="246">
        <f>VLOOKUP(1,$AE$10:$AL$29,8,0)</f>
        <v>4</v>
      </c>
      <c r="AB10" s="246">
        <f>Z10-AA10</f>
        <v>4</v>
      </c>
      <c r="AC10" s="275">
        <f>(W10*3)+X10</f>
        <v>6</v>
      </c>
      <c r="AD10" s="223">
        <f>RANK(AO10,$AO$10:$AO$29,0)</f>
        <v>1</v>
      </c>
      <c r="AE10" s="223">
        <f>RANK(AP10,$AP$10:$AP$29,1)</f>
        <v>1</v>
      </c>
      <c r="AF10" s="223" t="str">
        <f>F8</f>
        <v>ESTADOS UNIDOS</v>
      </c>
      <c r="AG10" s="249">
        <f>3-COUNTIF(I32:K32,"")</f>
        <v>3</v>
      </c>
      <c r="AH10" s="223">
        <f>COUNTIF(I32:K32,"G")</f>
        <v>2</v>
      </c>
      <c r="AI10" s="223">
        <f>COUNTIF(I32:K32,"E")</f>
        <v>0</v>
      </c>
      <c r="AJ10" s="223">
        <f>COUNTIF(I32:K32,"P")</f>
        <v>1</v>
      </c>
      <c r="AK10" s="223">
        <f>SUM(I8,I16,K24)</f>
        <v>8</v>
      </c>
      <c r="AL10" s="223">
        <f>SUM(K8,K16,I24)</f>
        <v>4</v>
      </c>
      <c r="AM10" s="223">
        <f>AK10-AL10</f>
        <v>4</v>
      </c>
      <c r="AN10" s="223">
        <f>(AH10*3)+AI10*vcp</f>
        <v>6</v>
      </c>
      <c r="AO10" s="223">
        <f>IF($AO$6&gt;0,AN10*10+3)</f>
        <v>63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ESTADOS UNIDOS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60000</v>
      </c>
      <c r="AY10" s="226">
        <f>IF(AND($AO$6&gt;0,$AP$6&gt;0),AN10*10000+AZ10,AO10)</f>
        <v>60000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60000</v>
      </c>
      <c r="BC10" s="226">
        <f>AX10+BD10+3</f>
        <v>60003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60064.83</v>
      </c>
      <c r="BF10" s="225">
        <f>RANK(BE10,$BE$10:$BE$29)</f>
        <v>1</v>
      </c>
      <c r="BG10" s="279">
        <f>BE10-0.03</f>
        <v>60064.800000000003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8</v>
      </c>
      <c r="B12" s="196">
        <v>6</v>
      </c>
      <c r="C12" s="195">
        <f>VLOOKUP(A12,tDatos[],IF(UTCElegido="",3,12),0)</f>
        <v>46187</v>
      </c>
      <c r="D12" s="197">
        <f>VLOOKUP(A12,tDatos[],IF(UTCElegido="",4,12),0)</f>
        <v>0</v>
      </c>
      <c r="E12" s="18"/>
      <c r="F12" s="198" t="str">
        <f>VLOOKUP(A12,tDatos[],5,0)</f>
        <v>AUSTRALIA</v>
      </c>
      <c r="G12" s="192" t="str">
        <f>IF(AND(I12&lt;&gt;"",K12&lt;&gt;""),IF(I12=K12,"E",IF(I12&gt;K12,"G","P")),"")</f>
        <v>G</v>
      </c>
      <c r="H12" s="20"/>
      <c r="I12" s="280">
        <f>IF(Ingreso!G51="","",Ingreso!G51)</f>
        <v>2</v>
      </c>
      <c r="J12" s="237" t="s">
        <v>0</v>
      </c>
      <c r="K12" s="280">
        <f>IF(Ingreso!J51="","",Ingreso!J51)</f>
        <v>0</v>
      </c>
      <c r="L12" s="192" t="str">
        <f>IF(AND(K12&lt;&gt;"",I12&lt;&gt;""),IF(K12=I12,"E",IF(K12&gt;I12,"G","P")),"")</f>
        <v>P</v>
      </c>
      <c r="M12" s="19"/>
      <c r="N12" s="193" t="str">
        <f>VLOOKUP(A12,tDatos[],6,0)</f>
        <v>TURQUÍA</v>
      </c>
      <c r="O12" s="18"/>
      <c r="P12" s="218" t="str">
        <f>VLOOKUP(A12,tDatos[],9,0)</f>
        <v>Vancouver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AUSTRALIATURQUÍA</v>
      </c>
      <c r="AS12" s="148" t="str">
        <f>IF(I12&gt;K12,F12,IF(K12&gt;I12,N12,""))</f>
        <v>AUSTRALIA</v>
      </c>
      <c r="AT12" s="149">
        <f>I12</f>
        <v>2</v>
      </c>
      <c r="AU12" s="149">
        <f>K12</f>
        <v>0</v>
      </c>
      <c r="AV12" s="149">
        <f>AT12-AU12</f>
        <v>2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TURQUÍAAUSTRALIA</v>
      </c>
      <c r="AS13" s="148" t="str">
        <f>IF(I12&gt;K12,F12,IF(K12&gt;I12,N12,""))</f>
        <v>AUSTRALIA</v>
      </c>
      <c r="AT13" s="149">
        <f>K12</f>
        <v>0</v>
      </c>
      <c r="AU13" s="149">
        <f>I12</f>
        <v>2</v>
      </c>
      <c r="AV13" s="149">
        <f>AT13-AU13</f>
        <v>-2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AUSTRALIA</v>
      </c>
      <c r="S15" s="266"/>
      <c r="T15" s="266"/>
      <c r="U15" s="267"/>
      <c r="V15" s="274">
        <f>VLOOKUP(2,$AE$10:$AG$29,3,0)</f>
        <v>3</v>
      </c>
      <c r="W15" s="246">
        <f>VLOOKUP(2,$AE$10:$AH$29,4,0)</f>
        <v>1</v>
      </c>
      <c r="X15" s="246">
        <f>VLOOKUP(2,$AE$10:$AI$29,5,0)</f>
        <v>1</v>
      </c>
      <c r="Y15" s="246">
        <f>VLOOKUP(2,$AE$10:$AJ$29,6,0)</f>
        <v>1</v>
      </c>
      <c r="Z15" s="246">
        <f>VLOOKUP(2,$AE$10:$AK$29,7,0)</f>
        <v>2</v>
      </c>
      <c r="AA15" s="246">
        <f>VLOOKUP(2,$AE$10:$AL$29,8,0)</f>
        <v>2</v>
      </c>
      <c r="AB15" s="246">
        <f>Z15-AA15</f>
        <v>0</v>
      </c>
      <c r="AC15" s="275">
        <f>(W15*3)+X15</f>
        <v>4</v>
      </c>
      <c r="AD15" s="223">
        <f>RANK(AO15,$AO$10:$AO$29,0)</f>
        <v>2</v>
      </c>
      <c r="AE15" s="223">
        <f>RANK(AP15,$AP$10:$AP$29,1)</f>
        <v>3</v>
      </c>
      <c r="AF15" s="223" t="str">
        <f>N8</f>
        <v>PARAGUAY</v>
      </c>
      <c r="AG15" s="249">
        <f>3-COUNTIF(I33:K33,"")</f>
        <v>3</v>
      </c>
      <c r="AH15" s="223">
        <f>COUNTIF(I33:K33,"G")</f>
        <v>1</v>
      </c>
      <c r="AI15" s="223">
        <f>COUNTIF(I33:K33,"E")</f>
        <v>1</v>
      </c>
      <c r="AJ15" s="223">
        <f>COUNTIF(I33:K33,"P")</f>
        <v>1</v>
      </c>
      <c r="AK15" s="249">
        <f>SUM(K8,K20,I28)</f>
        <v>2</v>
      </c>
      <c r="AL15" s="223">
        <f>SUM(I8,I20,K28)</f>
        <v>4</v>
      </c>
      <c r="AM15" s="223">
        <f>AK15-AL15</f>
        <v>-2</v>
      </c>
      <c r="AN15" s="223">
        <f>(AH15*3)+AI15*vcp</f>
        <v>4</v>
      </c>
      <c r="AO15" s="223">
        <f>IF($AO$6&gt;0,AN15*10+2)</f>
        <v>42</v>
      </c>
      <c r="AP15" s="223">
        <f>IF(AF15=$R$38,BF15-100,IF(AF15=$R$37,BF15-200,IF(AF15=$R$36,BF15-300,BF15)))</f>
        <v>3</v>
      </c>
      <c r="AQ15" s="223" t="str">
        <f>IF(R37="",IF(SUM($V$10:$V$29)&gt;0,VLOOKUP(2,$AE$10:$AF$29,2,0),""),R37)</f>
        <v>AUSTRALIA</v>
      </c>
      <c r="AR15" s="151"/>
      <c r="AS15" s="148"/>
      <c r="AT15" s="148"/>
      <c r="AU15" s="148"/>
      <c r="AV15" s="152"/>
      <c r="AW15" s="225">
        <f>RANK(AY15,$AY$10:$AY$29,0)</f>
        <v>2</v>
      </c>
      <c r="AX15" s="226">
        <f>IF(AND($AO$6&gt;0,$AP$6&gt;0),AN15*10000+AZ15,AO15)</f>
        <v>40000</v>
      </c>
      <c r="AY15" s="226">
        <f>IF(AND($AO$6&gt;0,$AP$6&gt;0),AN15*10000+AZ15-1,AO15)</f>
        <v>39999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2</v>
      </c>
      <c r="BB15" s="225">
        <f>AX15+BD15</f>
        <v>40000</v>
      </c>
      <c r="BC15" s="226">
        <f>AX15+BD15+2</f>
        <v>40002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40038.22</v>
      </c>
      <c r="BF15" s="225">
        <f>RANK(BE15,$BE$10:$BE$29)</f>
        <v>3</v>
      </c>
      <c r="BG15" s="279">
        <f>BE15-0.02</f>
        <v>40038.200000000004</v>
      </c>
      <c r="BH15" s="279">
        <f>COUNTIF($BG$10:$BG$29,BG15)</f>
        <v>1</v>
      </c>
    </row>
    <row r="16" spans="1:60" ht="7.5" customHeight="1" x14ac:dyDescent="0.25">
      <c r="A16" s="229">
        <v>29</v>
      </c>
      <c r="B16" s="196">
        <v>32</v>
      </c>
      <c r="C16" s="195">
        <f>VLOOKUP(A16,tDatos[],IF(UTCElegido="",3,12),0)</f>
        <v>46192</v>
      </c>
      <c r="D16" s="197">
        <f>VLOOKUP(A16,tDatos[],IF(UTCElegido="",4,12),0)</f>
        <v>0.625</v>
      </c>
      <c r="E16" s="18"/>
      <c r="F16" s="198" t="str">
        <f>VLOOKUP(A16,tDatos[],5,0)</f>
        <v>ESTADOS UNIDOS</v>
      </c>
      <c r="G16" s="192" t="str">
        <f>IF(AND(I16&lt;&gt;"",K16&lt;&gt;""),IF(I16=K16,"E",IF(I16&gt;K16,"G","P")),"")</f>
        <v>G</v>
      </c>
      <c r="H16" s="20"/>
      <c r="I16" s="280">
        <f>IF(Ingreso!G177="","",Ingreso!G177)</f>
        <v>2</v>
      </c>
      <c r="J16" s="237" t="s">
        <v>0</v>
      </c>
      <c r="K16" s="280">
        <f>IF(Ingreso!J177="","",Ingreso!J177)</f>
        <v>0</v>
      </c>
      <c r="L16" s="192" t="str">
        <f>IF(AND(K16&lt;&gt;"",I16&lt;&gt;""),IF(K16=I16,"E",IF(K16&gt;I16,"G","P")),"")</f>
        <v>P</v>
      </c>
      <c r="M16" s="19"/>
      <c r="N16" s="193" t="str">
        <f>VLOOKUP(A16,tDatos[],6,0)</f>
        <v>AUSTRALIA</v>
      </c>
      <c r="O16" s="18"/>
      <c r="P16" s="218" t="str">
        <f>VLOOKUP(A16,tDatos[],9,0)</f>
        <v>Seattle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ESTADOS UNIDOSAUSTRALIA</v>
      </c>
      <c r="AS16" s="148" t="str">
        <f>IF(I16&gt;K16,F16,IF(K16&gt;I16,N16,""))</f>
        <v>ESTADOS UNIDOS</v>
      </c>
      <c r="AT16" s="149">
        <f>I16</f>
        <v>2</v>
      </c>
      <c r="AU16" s="149">
        <f>K16</f>
        <v>0</v>
      </c>
      <c r="AV16" s="149">
        <f>AT16-AU16</f>
        <v>2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AUSTRALIAESTADOS UNIDOS</v>
      </c>
      <c r="AS17" s="148" t="str">
        <f>IF(I16&gt;K16,F16,IF(K16&gt;I16,N16,""))</f>
        <v>ESTADOS UNIDOS</v>
      </c>
      <c r="AT17" s="149">
        <f>K16</f>
        <v>0</v>
      </c>
      <c r="AU17" s="149">
        <f>I16</f>
        <v>2</v>
      </c>
      <c r="AV17" s="149">
        <f>AT17-AU17</f>
        <v>-2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32</v>
      </c>
      <c r="B20" s="196">
        <v>31</v>
      </c>
      <c r="C20" s="195">
        <f>VLOOKUP(A20,tDatos[],IF(UTCElegido="",3,12),0)</f>
        <v>46192</v>
      </c>
      <c r="D20" s="197">
        <f>VLOOKUP(A20,tDatos[],IF(UTCElegido="",4,12),0)</f>
        <v>0.95833333333333337</v>
      </c>
      <c r="E20" s="18"/>
      <c r="F20" s="198" t="str">
        <f>VLOOKUP(A20,tDatos[],5,0)</f>
        <v>TURQUÍA</v>
      </c>
      <c r="G20" s="192" t="str">
        <f>IF(AND(I20&lt;&gt;"",K20&lt;&gt;""),IF(I20=K20,"E",IF(I20&gt;K20,"G","P")),"")</f>
        <v>P</v>
      </c>
      <c r="H20" s="20"/>
      <c r="I20" s="280">
        <f>IF(Ingreso!G195="","",Ingreso!G195)</f>
        <v>0</v>
      </c>
      <c r="J20" s="237" t="s">
        <v>0</v>
      </c>
      <c r="K20" s="280">
        <f>IF(Ingreso!J195="","",Ingreso!J195)</f>
        <v>1</v>
      </c>
      <c r="L20" s="192" t="str">
        <f>IF(AND(K20&lt;&gt;"",I20&lt;&gt;""),IF(K20=I20,"E",IF(K20&gt;I20,"G","P")),"")</f>
        <v>G</v>
      </c>
      <c r="M20" s="19"/>
      <c r="N20" s="193" t="str">
        <f>VLOOKUP(A20,tDatos[],6,0)</f>
        <v>PARAGUAY</v>
      </c>
      <c r="O20" s="18"/>
      <c r="P20" s="218" t="str">
        <f>VLOOKUP(A20,tDatos[],9,0)</f>
        <v>San Francisco</v>
      </c>
      <c r="R20" s="240" t="str">
        <f>"  3)  " &amp; VLOOKUP(3,$AE$10:$AF$29,2,0)</f>
        <v xml:space="preserve">  3)  PARAGUAY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1</v>
      </c>
      <c r="Y20" s="248">
        <f>VLOOKUP(3,$AE$10:$AJ$29,6,0)</f>
        <v>1</v>
      </c>
      <c r="Z20" s="248">
        <f>VLOOKUP(3,$AE$10:$AK$29,7,0)</f>
        <v>2</v>
      </c>
      <c r="AA20" s="248">
        <f>VLOOKUP(3,$AE$10:$AL$29,8,0)</f>
        <v>4</v>
      </c>
      <c r="AB20" s="247">
        <f>Z20-AA20</f>
        <v>-2</v>
      </c>
      <c r="AC20" s="252">
        <f>(W20*3)+X20</f>
        <v>4</v>
      </c>
      <c r="AD20" s="223">
        <f>RANK(AO20,$AO$10:$AO$29,0)</f>
        <v>3</v>
      </c>
      <c r="AE20" s="223">
        <f>RANK(AP20,$AP$10:$AP$29,1)</f>
        <v>2</v>
      </c>
      <c r="AF20" s="223" t="str">
        <f>F12</f>
        <v>AUSTRALIA</v>
      </c>
      <c r="AG20" s="249">
        <f>3-COUNTIF(I34:K34,"")</f>
        <v>3</v>
      </c>
      <c r="AH20" s="223">
        <f>COUNTIF(I34:K34,"G")</f>
        <v>1</v>
      </c>
      <c r="AI20" s="223">
        <f>COUNTIF(I34:K34,"E")</f>
        <v>1</v>
      </c>
      <c r="AJ20" s="223">
        <f>COUNTIF(I34:K34,"P")</f>
        <v>1</v>
      </c>
      <c r="AK20" s="249">
        <f>SUM(I12,K16,K28)</f>
        <v>2</v>
      </c>
      <c r="AL20" s="249">
        <f>SUM(K12,I16,I28)</f>
        <v>2</v>
      </c>
      <c r="AM20" s="223">
        <f>AK20-AL20</f>
        <v>0</v>
      </c>
      <c r="AN20" s="223">
        <f>(AH20*3)+AI20*vcp</f>
        <v>4</v>
      </c>
      <c r="AO20" s="223">
        <f>IF($AO$6&gt;0,AN20*10+1)</f>
        <v>41</v>
      </c>
      <c r="AP20" s="223">
        <f>IF(AF20=$R$38,BF20-100,IF(AF20=$R$37,BF20-200,IF(AF20=$R$36,BF20-300,BF20)))</f>
        <v>2</v>
      </c>
      <c r="AQ20" s="223" t="str">
        <f>IF(R38="",IF(SUM($V$10:$V$29)&gt;0,VLOOKUP(3,$AE$10:$AF$29,2,0),""),R38)</f>
        <v>PARAGUAY</v>
      </c>
      <c r="AR20" s="148" t="str">
        <f>F20&amp;N20</f>
        <v>TURQUÍAPARAGUAY</v>
      </c>
      <c r="AS20" s="148" t="str">
        <f>IF(I20&gt;K20,F20,IF(K20&gt;I20,N20,""))</f>
        <v>PARAGUAY</v>
      </c>
      <c r="AT20" s="149">
        <f>I20</f>
        <v>0</v>
      </c>
      <c r="AU20" s="149">
        <f>K20</f>
        <v>1</v>
      </c>
      <c r="AV20" s="149">
        <f>AT20-AU20</f>
        <v>-1</v>
      </c>
      <c r="AW20" s="225">
        <f>RANK(AY20,$AY$10:$AY$29,0)</f>
        <v>3</v>
      </c>
      <c r="AX20" s="226">
        <f>IF(AND($AO$6&gt;0,$AP$6&gt;0),AN20*10000+AZ20,AO20)</f>
        <v>40000</v>
      </c>
      <c r="AY20" s="226">
        <f>IF(AND($AO$6&gt;0,$AP$6&gt;0),AN20*10000+AZ20-2,AO20)</f>
        <v>39998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2</v>
      </c>
      <c r="BB20" s="225">
        <f>AX20+BD20</f>
        <v>40000</v>
      </c>
      <c r="BC20" s="226">
        <f>AX20+BD20+1</f>
        <v>40001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40040.21</v>
      </c>
      <c r="BF20" s="225">
        <f>RANK(BE20,$BE$10:$BE$29)</f>
        <v>2</v>
      </c>
      <c r="BG20" s="279">
        <f>BE20-0.01</f>
        <v>40040.199999999997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PARAGUAYTURQUÍA</v>
      </c>
      <c r="AS21" s="148" t="str">
        <f>IF(I20&gt;K20,F20,IF(K20&gt;I20,N20,""))</f>
        <v>PARAGUAY</v>
      </c>
      <c r="AT21" s="149">
        <f>K20</f>
        <v>1</v>
      </c>
      <c r="AU21" s="149">
        <f>I20</f>
        <v>0</v>
      </c>
      <c r="AV21" s="149">
        <f>AT21-AU21</f>
        <v>1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59</v>
      </c>
      <c r="B24" s="196">
        <v>59</v>
      </c>
      <c r="C24" s="195">
        <f>VLOOKUP(A24,tDatos[],IF(UTCElegido="",3,12),0)</f>
        <v>46198</v>
      </c>
      <c r="D24" s="197">
        <f>VLOOKUP(A24,tDatos[],IF(UTCElegido="",4,12),0)</f>
        <v>0.91666666666666663</v>
      </c>
      <c r="E24" s="18"/>
      <c r="F24" s="198" t="str">
        <f>VLOOKUP(A24,tDatos[],5,0)</f>
        <v>TURQUÍA</v>
      </c>
      <c r="G24" s="192" t="str">
        <f>IF(AND(I24&lt;&gt;"",K24&lt;&gt;""),IF(I24=K24,"E",IF(I24&gt;K24,"G","P")),"")</f>
        <v>G</v>
      </c>
      <c r="H24" s="20"/>
      <c r="I24" s="280">
        <f>IF(Ingreso!G357="","",Ingreso!G357)</f>
        <v>3</v>
      </c>
      <c r="J24" s="237" t="s">
        <v>0</v>
      </c>
      <c r="K24" s="280">
        <f>IF(Ingreso!J357="","",Ingreso!J357)</f>
        <v>2</v>
      </c>
      <c r="L24" s="192" t="str">
        <f>IF(AND(K24&lt;&gt;"",I24&lt;&gt;""),IF(K24=I24,"E",IF(K24&gt;I24,"G","P")),"")</f>
        <v>P</v>
      </c>
      <c r="M24" s="19"/>
      <c r="N24" s="193" t="str">
        <f>VLOOKUP(A24,tDatos[],6,0)</f>
        <v>ESTADOS UNIDOS</v>
      </c>
      <c r="O24" s="18"/>
      <c r="P24" s="218" t="str">
        <f>VLOOKUP(A24,tDatos[],9,0)</f>
        <v>Los Angeles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TURQUÍAESTADOS UNIDOS</v>
      </c>
      <c r="AS24" s="148" t="str">
        <f>IF(I24&gt;K24,F24,IF(K24&gt;I24,N24,""))</f>
        <v>TURQUÍA</v>
      </c>
      <c r="AT24" s="149">
        <f>I24</f>
        <v>3</v>
      </c>
      <c r="AU24" s="149">
        <f>K24</f>
        <v>2</v>
      </c>
      <c r="AV24" s="149">
        <f>AT24-AU24</f>
        <v>1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TURQUÍA</v>
      </c>
      <c r="S25" s="241"/>
      <c r="T25" s="241"/>
      <c r="U25" s="241"/>
      <c r="V25" s="255">
        <f>VLOOKUP(4,$AE$10:$AG$29,3,0)</f>
        <v>3</v>
      </c>
      <c r="W25" s="248">
        <f>VLOOKUP(4,$AE$10:$AH$29,4,0)</f>
        <v>1</v>
      </c>
      <c r="X25" s="248">
        <f>VLOOKUP(4,$AE$10:$AI$29,5,0)</f>
        <v>0</v>
      </c>
      <c r="Y25" s="248">
        <f>VLOOKUP(4,$AE$10:$AJ$29,6,0)</f>
        <v>2</v>
      </c>
      <c r="Z25" s="248">
        <f>VLOOKUP(4,$AE$10:$AK$29,7,0)</f>
        <v>3</v>
      </c>
      <c r="AA25" s="248">
        <f>VLOOKUP(4,$AE$10:$AL$29,8,0)</f>
        <v>5</v>
      </c>
      <c r="AB25" s="247">
        <f>Z25-AA25</f>
        <v>-2</v>
      </c>
      <c r="AC25" s="252">
        <f>(W25*3)+X25</f>
        <v>3</v>
      </c>
      <c r="AD25" s="223">
        <f>RANK(AO25,$AO$10:$AO$29,0)</f>
        <v>4</v>
      </c>
      <c r="AE25" s="223">
        <f>RANK(AP25,$AP$10:$AP$29,1)</f>
        <v>4</v>
      </c>
      <c r="AF25" s="223" t="str">
        <f>N12</f>
        <v>TURQUÍA</v>
      </c>
      <c r="AG25" s="249">
        <f>3-COUNTIF(I35:K35,"")</f>
        <v>3</v>
      </c>
      <c r="AH25" s="223">
        <f>COUNTIF(I35:K35,"G")</f>
        <v>1</v>
      </c>
      <c r="AI25" s="223">
        <f>COUNTIF(I35:K35,"E")</f>
        <v>0</v>
      </c>
      <c r="AJ25" s="223">
        <f>COUNTIF(I35:K35,"P")</f>
        <v>2</v>
      </c>
      <c r="AK25" s="249">
        <f>SUM(K12,I20,I24)</f>
        <v>3</v>
      </c>
      <c r="AL25" s="249">
        <f>SUM(I12,K20,K24)</f>
        <v>5</v>
      </c>
      <c r="AM25" s="223">
        <f>AK25-AL25</f>
        <v>-2</v>
      </c>
      <c r="AN25" s="223">
        <f>(AH25*3)+AI25*vcp</f>
        <v>3</v>
      </c>
      <c r="AO25" s="223">
        <f>IF($AO$6&gt;0,AN25*10)</f>
        <v>30</v>
      </c>
      <c r="AP25" s="223">
        <f>IF(AF25=$R$38,BF25-100,IF(AF25=$R$37,BF25-200,IF(AF25=$R$36,BF25-300,BF25)))</f>
        <v>4</v>
      </c>
      <c r="AQ25" s="223" t="str">
        <f>IF(SUM($V$10:$V$29)&gt;0,VLOOKUP(4,$AE$10:$AF$29,2,0),"")</f>
        <v>TURQUÍA</v>
      </c>
      <c r="AR25" s="148" t="str">
        <f>N24&amp;F24</f>
        <v>ESTADOS UNIDOSTURQUÍA</v>
      </c>
      <c r="AS25" s="148" t="str">
        <f>IF(I24&gt;K24,F24,IF(K24&gt;I24,N24,""))</f>
        <v>TURQUÍA</v>
      </c>
      <c r="AT25" s="149">
        <f>K24</f>
        <v>2</v>
      </c>
      <c r="AU25" s="149">
        <f>I24</f>
        <v>3</v>
      </c>
      <c r="AV25" s="149">
        <f>AT25-AU25</f>
        <v>-1</v>
      </c>
      <c r="AW25" s="225">
        <f>RANK(AY25,$AY$10:$AY$29,0)</f>
        <v>4</v>
      </c>
      <c r="AX25" s="226">
        <f>IF(AND($AO$6&gt;0,$AP$6&gt;0),AN25*10000+AZ25,AO25)</f>
        <v>30000</v>
      </c>
      <c r="AY25" s="226">
        <f>IF(AND($AO$6&gt;0,$AP$6&gt;0),AN25*10000+AZ25-3,AO25)</f>
        <v>29997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4</v>
      </c>
      <c r="BB25" s="225">
        <f>AX25+BD25</f>
        <v>30000</v>
      </c>
      <c r="BC25" s="226">
        <f>AX25+BD25</f>
        <v>30000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30028.3</v>
      </c>
      <c r="BF25" s="225">
        <f>RANK(BE25,$BE$10:$BE$29)</f>
        <v>4</v>
      </c>
      <c r="BG25" s="279">
        <f>BE25</f>
        <v>30028.3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60</v>
      </c>
      <c r="B28" s="196">
        <v>60</v>
      </c>
      <c r="C28" s="195">
        <f>VLOOKUP(A28,tDatos[],IF(UTCElegido="",3,12),0)</f>
        <v>46198</v>
      </c>
      <c r="D28" s="197">
        <f>VLOOKUP(A28,tDatos[],IF(UTCElegido="",4,12),0)</f>
        <v>0.91666666666666663</v>
      </c>
      <c r="E28" s="18"/>
      <c r="F28" s="198" t="str">
        <f>VLOOKUP(A28,tDatos[],5,0)</f>
        <v>PARAGUAY</v>
      </c>
      <c r="G28" s="192" t="str">
        <f>IF(AND(I28&lt;&gt;"",K28&lt;&gt;""),IF(I28=K28,"E",IF(I28&gt;K28,"G","P")),"")</f>
        <v>E</v>
      </c>
      <c r="H28" s="20"/>
      <c r="I28" s="280">
        <f>IF(Ingreso!G363="","",Ingreso!G363)</f>
        <v>0</v>
      </c>
      <c r="J28" s="237" t="s">
        <v>0</v>
      </c>
      <c r="K28" s="280">
        <f>IF(Ingreso!J363="","",Ingreso!J363)</f>
        <v>0</v>
      </c>
      <c r="L28" s="192" t="str">
        <f>IF(AND(K28&lt;&gt;"",I28&lt;&gt;""),IF(K28=I28,"E",IF(K28&gt;I28,"G","P")),"")</f>
        <v>E</v>
      </c>
      <c r="M28" s="19"/>
      <c r="N28" s="193" t="str">
        <f>VLOOKUP(A28,tDatos[],6,0)</f>
        <v>AUSTRALIA</v>
      </c>
      <c r="O28" s="18"/>
      <c r="P28" s="218" t="str">
        <f>VLOOKUP(A28,tDatos[],9,0)</f>
        <v>San Francisco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PARAGUAYAUSTRALIA</v>
      </c>
      <c r="AS28" s="148" t="str">
        <f>IF(I28&gt;K28,F28,IF(K28&gt;I28,N28,""))</f>
        <v/>
      </c>
      <c r="AT28" s="149">
        <f>I28</f>
        <v>0</v>
      </c>
      <c r="AU28" s="149">
        <f>K28</f>
        <v>0</v>
      </c>
      <c r="AV28" s="149">
        <f>AT28-AU28</f>
        <v>0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AUSTRALIAPARAGUAY</v>
      </c>
      <c r="AS29" s="148" t="str">
        <f>IF(I28&gt;K28,F28,IF(K28&gt;I28,N28,""))</f>
        <v/>
      </c>
      <c r="AT29" s="149">
        <f>K28</f>
        <v>0</v>
      </c>
      <c r="AU29" s="149">
        <f>I28</f>
        <v>0</v>
      </c>
      <c r="AV29" s="149">
        <f>AT29-AU29</f>
        <v>0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ESTADOS UNIDOS</v>
      </c>
      <c r="I32" t="str">
        <f>G8</f>
        <v>G</v>
      </c>
      <c r="J32" t="str">
        <f>G16</f>
        <v>G</v>
      </c>
      <c r="K32" t="str">
        <f>L24</f>
        <v>P</v>
      </c>
    </row>
    <row r="33" spans="6:21" hidden="1" x14ac:dyDescent="0.25">
      <c r="F33" t="str">
        <f>N8</f>
        <v>PARAGUAY</v>
      </c>
      <c r="I33" t="str">
        <f>L8</f>
        <v>P</v>
      </c>
      <c r="J33" t="str">
        <f>L20</f>
        <v>G</v>
      </c>
      <c r="K33" t="str">
        <f>G28</f>
        <v>E</v>
      </c>
    </row>
    <row r="34" spans="6:21" hidden="1" x14ac:dyDescent="0.25">
      <c r="F34" t="str">
        <f>F12</f>
        <v>AUSTRALIA</v>
      </c>
      <c r="I34" t="str">
        <f>G12</f>
        <v>G</v>
      </c>
      <c r="J34" t="str">
        <f>L16</f>
        <v>P</v>
      </c>
      <c r="K34" t="str">
        <f>L28</f>
        <v>E</v>
      </c>
    </row>
    <row r="35" spans="6:21" hidden="1" x14ac:dyDescent="0.25">
      <c r="F35" t="str">
        <f>N12</f>
        <v>TURQUÍA</v>
      </c>
      <c r="I35" t="str">
        <f>L12</f>
        <v>P</v>
      </c>
      <c r="J35" t="str">
        <f>G20</f>
        <v>P</v>
      </c>
      <c r="K35" t="str">
        <f>G24</f>
        <v>G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884FAE93-3B51-4ED0-940A-BB6BDA6709A4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BA62-50E0-44D5-A0AC-DEBAABEF1FAB}">
  <sheetPr codeName="Hoja7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1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0</v>
      </c>
      <c r="AY6" s="147"/>
      <c r="BB6" s="147">
        <f>(BB10=BB15)+(BB15=BB20)+(BB20=BB25)+(BB10=BB20)+(BB15=BB25)+(BB10=BB25)</f>
        <v>0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9</v>
      </c>
      <c r="B8" s="196">
        <v>10</v>
      </c>
      <c r="C8" s="195">
        <f>VLOOKUP(A8,tDatos[],IF(UTCElegido="",3,12),0)</f>
        <v>46187</v>
      </c>
      <c r="D8" s="197">
        <f>VLOOKUP(A8,tDatos[],IF(UTCElegido="",4,12),0)</f>
        <v>0.54166666666666663</v>
      </c>
      <c r="E8" s="18"/>
      <c r="F8" s="198" t="str">
        <f>VLOOKUP(A8,tDatos[],5,0)</f>
        <v>ALEMANIA</v>
      </c>
      <c r="G8" s="192" t="str">
        <f>IF(AND(I8&lt;&gt;"",K8&lt;&gt;""),IF(I8=K8,"E",IF(I8&gt;K8,"G","P")),"")</f>
        <v>G</v>
      </c>
      <c r="H8" s="20"/>
      <c r="I8" s="280">
        <f>IF(Ingreso!G57="","",Ingreso!G57)</f>
        <v>7</v>
      </c>
      <c r="J8" s="237" t="s">
        <v>0</v>
      </c>
      <c r="K8" s="280">
        <f>IF(Ingreso!J57="","",Ingreso!J57)</f>
        <v>1</v>
      </c>
      <c r="L8" s="192" t="str">
        <f>IF(AND(K8&lt;&gt;"",I8&lt;&gt;""),IF(K8=I8,"E",IF(K8&gt;I8,"G","P")),"")</f>
        <v>P</v>
      </c>
      <c r="M8" s="19"/>
      <c r="N8" s="193" t="str">
        <f>VLOOKUP(A8,tDatos[],6,0)</f>
        <v>CURAZAO</v>
      </c>
      <c r="O8" s="18"/>
      <c r="P8" s="218" t="str">
        <f>VLOOKUP(A8,tDatos[],9,0)</f>
        <v>Houston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ALEMANIACURAZAO</v>
      </c>
      <c r="AS8" s="148" t="str">
        <f>IF(I8&gt;K8,F8,IF(K8&gt;I8,N8,""))</f>
        <v>ALEMANIA</v>
      </c>
      <c r="AT8" s="149">
        <f>I8</f>
        <v>7</v>
      </c>
      <c r="AU8" s="149">
        <f>K8</f>
        <v>1</v>
      </c>
      <c r="AV8" s="149">
        <f>AT8-AU8</f>
        <v>6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CURAZAOALEMANIA</v>
      </c>
      <c r="AS9" s="148" t="str">
        <f>IF(I8&gt;K8,F8,IF(K8&gt;I8,N8,""))</f>
        <v>ALEMANIA</v>
      </c>
      <c r="AT9" s="149">
        <f>K8</f>
        <v>1</v>
      </c>
      <c r="AU9" s="149">
        <f>I8</f>
        <v>7</v>
      </c>
      <c r="AV9" s="149">
        <f>AT9-AU9</f>
        <v>-6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ALEMANIA</v>
      </c>
      <c r="S10" s="266"/>
      <c r="T10" s="266"/>
      <c r="U10" s="267"/>
      <c r="V10" s="274">
        <f>VLOOKUP(1,$AE$10:$AG$29,3,0)</f>
        <v>3</v>
      </c>
      <c r="W10" s="246">
        <f>VLOOKUP(1,$AE$10:$AH$29,4,0)</f>
        <v>2</v>
      </c>
      <c r="X10" s="246">
        <f>VLOOKUP(1,$AE$10:$AI$29,5,0)</f>
        <v>0</v>
      </c>
      <c r="Y10" s="246">
        <f>VLOOKUP(1,$AE$10:$AJ$29,6,0)</f>
        <v>1</v>
      </c>
      <c r="Z10" s="246">
        <f>VLOOKUP(1,$AE$10:$AK$29,7,0)</f>
        <v>10</v>
      </c>
      <c r="AA10" s="246">
        <f>VLOOKUP(1,$AE$10:$AL$29,8,0)</f>
        <v>4</v>
      </c>
      <c r="AB10" s="246">
        <f>Z10-AA10</f>
        <v>6</v>
      </c>
      <c r="AC10" s="275">
        <f>(W10*3)+X10</f>
        <v>6</v>
      </c>
      <c r="AD10" s="223">
        <f>RANK(AO10,$AO$10:$AO$29,0)</f>
        <v>1</v>
      </c>
      <c r="AE10" s="223">
        <f>RANK(AP10,$AP$10:$AP$29,1)</f>
        <v>1</v>
      </c>
      <c r="AF10" s="223" t="str">
        <f>F8</f>
        <v>ALEMANIA</v>
      </c>
      <c r="AG10" s="249">
        <f>3-COUNTIF(I32:K32,"")</f>
        <v>3</v>
      </c>
      <c r="AH10" s="223">
        <f>COUNTIF(I32:K32,"G")</f>
        <v>2</v>
      </c>
      <c r="AI10" s="223">
        <f>COUNTIF(I32:K32,"E")</f>
        <v>0</v>
      </c>
      <c r="AJ10" s="223">
        <f>COUNTIF(I32:K32,"P")</f>
        <v>1</v>
      </c>
      <c r="AK10" s="223">
        <f>SUM(I8,I16,K28)</f>
        <v>10</v>
      </c>
      <c r="AL10" s="223">
        <f>SUM(K8,K16,I28)</f>
        <v>4</v>
      </c>
      <c r="AM10" s="223">
        <f>AK10-AL10</f>
        <v>6</v>
      </c>
      <c r="AN10" s="223">
        <f>(AH10*3)+AI10*vcp</f>
        <v>6</v>
      </c>
      <c r="AO10" s="223">
        <f>IF($AO$6&gt;0,AN10*10+3)</f>
        <v>63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ALEMANIA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61000</v>
      </c>
      <c r="AY10" s="226">
        <f>IF(AND($AO$6&gt;0,$AP$6&gt;0),AN10*10000+AZ10,AO10)</f>
        <v>61000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1000</v>
      </c>
      <c r="BA10" s="225">
        <f>RANK(BB10,$BB$10:$BB$29,0)</f>
        <v>1</v>
      </c>
      <c r="BB10" s="225">
        <f>AX10+BD10</f>
        <v>61000</v>
      </c>
      <c r="BC10" s="226">
        <f>AX10+BD10+3</f>
        <v>61003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61000.03</v>
      </c>
      <c r="BF10" s="225">
        <f>RANK(BE10,$BE$10:$BE$29)</f>
        <v>1</v>
      </c>
      <c r="BG10" s="279">
        <f>BE10-0.03</f>
        <v>61000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11</v>
      </c>
      <c r="B12" s="196">
        <v>9</v>
      </c>
      <c r="C12" s="195">
        <f>VLOOKUP(A12,tDatos[],IF(UTCElegido="",3,12),0)</f>
        <v>46187</v>
      </c>
      <c r="D12" s="197">
        <f>VLOOKUP(A12,tDatos[],IF(UTCElegido="",4,12),0)</f>
        <v>0.79166666666666663</v>
      </c>
      <c r="E12" s="18"/>
      <c r="F12" s="198" t="str">
        <f>VLOOKUP(A12,tDatos[],5,0)</f>
        <v>COSTA de MARFIL</v>
      </c>
      <c r="G12" s="192" t="str">
        <f>IF(AND(I12&lt;&gt;"",K12&lt;&gt;""),IF(I12=K12,"E",IF(I12&gt;K12,"G","P")),"")</f>
        <v>G</v>
      </c>
      <c r="H12" s="20"/>
      <c r="I12" s="280">
        <f>IF(Ingreso!G69="","",Ingreso!G69)</f>
        <v>1</v>
      </c>
      <c r="J12" s="237" t="s">
        <v>0</v>
      </c>
      <c r="K12" s="280">
        <f>IF(Ingreso!J69="","",Ingreso!J69)</f>
        <v>0</v>
      </c>
      <c r="L12" s="192" t="str">
        <f>IF(AND(K12&lt;&gt;"",I12&lt;&gt;""),IF(K12=I12,"E",IF(K12&gt;I12,"G","P")),"")</f>
        <v>P</v>
      </c>
      <c r="M12" s="19"/>
      <c r="N12" s="193" t="str">
        <f>VLOOKUP(A12,tDatos[],6,0)</f>
        <v>ECUADOR</v>
      </c>
      <c r="O12" s="18"/>
      <c r="P12" s="218" t="str">
        <f>VLOOKUP(A12,tDatos[],9,0)</f>
        <v>Filadelfia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COSTA de MARFILECUADOR</v>
      </c>
      <c r="AS12" s="148" t="str">
        <f>IF(I12&gt;K12,F12,IF(K12&gt;I12,N12,""))</f>
        <v>COSTA de MARFIL</v>
      </c>
      <c r="AT12" s="149">
        <f>I12</f>
        <v>1</v>
      </c>
      <c r="AU12" s="149">
        <f>K12</f>
        <v>0</v>
      </c>
      <c r="AV12" s="149">
        <f>AT12-AU12</f>
        <v>1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ECUADORCOSTA de MARFIL</v>
      </c>
      <c r="AS13" s="148" t="str">
        <f>IF(I12&gt;K12,F12,IF(K12&gt;I12,N12,""))</f>
        <v>COSTA de MARFIL</v>
      </c>
      <c r="AT13" s="149">
        <f>K12</f>
        <v>0</v>
      </c>
      <c r="AU13" s="149">
        <f>I12</f>
        <v>1</v>
      </c>
      <c r="AV13" s="149">
        <f>AT13-AU13</f>
        <v>-1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COSTA de MARFIL</v>
      </c>
      <c r="S15" s="266"/>
      <c r="T15" s="266"/>
      <c r="U15" s="267"/>
      <c r="V15" s="274">
        <f>VLOOKUP(2,$AE$10:$AG$29,3,0)</f>
        <v>3</v>
      </c>
      <c r="W15" s="246">
        <f>VLOOKUP(2,$AE$10:$AH$29,4,0)</f>
        <v>2</v>
      </c>
      <c r="X15" s="246">
        <f>VLOOKUP(2,$AE$10:$AI$29,5,0)</f>
        <v>0</v>
      </c>
      <c r="Y15" s="246">
        <f>VLOOKUP(2,$AE$10:$AJ$29,6,0)</f>
        <v>1</v>
      </c>
      <c r="Z15" s="246">
        <f>VLOOKUP(2,$AE$10:$AK$29,7,0)</f>
        <v>4</v>
      </c>
      <c r="AA15" s="246">
        <f>VLOOKUP(2,$AE$10:$AL$29,8,0)</f>
        <v>2</v>
      </c>
      <c r="AB15" s="246">
        <f>Z15-AA15</f>
        <v>2</v>
      </c>
      <c r="AC15" s="275">
        <f>(W15*3)+X15</f>
        <v>6</v>
      </c>
      <c r="AD15" s="223">
        <f>RANK(AO15,$AO$10:$AO$29,0)</f>
        <v>4</v>
      </c>
      <c r="AE15" s="223">
        <f>RANK(AP15,$AP$10:$AP$29,1)</f>
        <v>4</v>
      </c>
      <c r="AF15" s="223" t="str">
        <f>N8</f>
        <v>CURAZAO</v>
      </c>
      <c r="AG15" s="249">
        <f>3-COUNTIF(I33:K33,"")</f>
        <v>3</v>
      </c>
      <c r="AH15" s="223">
        <f>COUNTIF(I33:K33,"G")</f>
        <v>0</v>
      </c>
      <c r="AI15" s="223">
        <f>COUNTIF(I33:K33,"E")</f>
        <v>1</v>
      </c>
      <c r="AJ15" s="223">
        <f>COUNTIF(I33:K33,"P")</f>
        <v>2</v>
      </c>
      <c r="AK15" s="249">
        <f>SUM(K8,K20,I24)</f>
        <v>1</v>
      </c>
      <c r="AL15" s="223">
        <f>SUM(I8,I20,K24)</f>
        <v>9</v>
      </c>
      <c r="AM15" s="223">
        <f>AK15-AL15</f>
        <v>-8</v>
      </c>
      <c r="AN15" s="223">
        <f>(AH15*3)+AI15*vcp</f>
        <v>1</v>
      </c>
      <c r="AO15" s="223">
        <f>IF($AO$6&gt;0,AN15*10+2)</f>
        <v>12</v>
      </c>
      <c r="AP15" s="223">
        <f>IF(AF15=$R$38,BF15-100,IF(AF15=$R$37,BF15-200,IF(AF15=$R$36,BF15-300,BF15)))</f>
        <v>4</v>
      </c>
      <c r="AQ15" s="223" t="str">
        <f>IF(R37="",IF(SUM($V$10:$V$29)&gt;0,VLOOKUP(2,$AE$10:$AF$29,2,0),""),R37)</f>
        <v>COSTA de MARFIL</v>
      </c>
      <c r="AR15" s="151"/>
      <c r="AS15" s="148"/>
      <c r="AT15" s="148"/>
      <c r="AU15" s="148"/>
      <c r="AV15" s="152"/>
      <c r="AW15" s="225">
        <f>RANK(AY15,$AY$10:$AY$29,0)</f>
        <v>4</v>
      </c>
      <c r="AX15" s="226">
        <f>IF(AND($AO$6&gt;0,$AP$6&gt;0),AN15*10000+AZ15,AO15)</f>
        <v>10000</v>
      </c>
      <c r="AY15" s="226">
        <f>IF(AND($AO$6&gt;0,$AP$6&gt;0),AN15*10000+AZ15-1,AO15)</f>
        <v>9999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4</v>
      </c>
      <c r="BB15" s="225">
        <f>AX15+BD15</f>
        <v>10000</v>
      </c>
      <c r="BC15" s="226">
        <f>AX15+BD15+2</f>
        <v>10002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10000.02</v>
      </c>
      <c r="BF15" s="225">
        <f>RANK(BE15,$BE$10:$BE$29)</f>
        <v>4</v>
      </c>
      <c r="BG15" s="279">
        <f>BE15-0.02</f>
        <v>10000</v>
      </c>
      <c r="BH15" s="279">
        <f>COUNTIF($BG$10:$BG$29,BG15)</f>
        <v>1</v>
      </c>
    </row>
    <row r="16" spans="1:60" ht="7.5" customHeight="1" x14ac:dyDescent="0.25">
      <c r="A16" s="229">
        <v>34</v>
      </c>
      <c r="B16" s="196">
        <v>33</v>
      </c>
      <c r="C16" s="195">
        <f>VLOOKUP(A16,tDatos[],IF(UTCElegido="",3,12),0)</f>
        <v>46193</v>
      </c>
      <c r="D16" s="197">
        <f>VLOOKUP(A16,tDatos[],IF(UTCElegido="",4,12),0)</f>
        <v>0.66666666666666663</v>
      </c>
      <c r="E16" s="18"/>
      <c r="F16" s="198" t="str">
        <f>VLOOKUP(A16,tDatos[],5,0)</f>
        <v>ALEMANIA</v>
      </c>
      <c r="G16" s="192" t="str">
        <f>IF(AND(I16&lt;&gt;"",K16&lt;&gt;""),IF(I16=K16,"E",IF(I16&gt;K16,"G","P")),"")</f>
        <v>G</v>
      </c>
      <c r="H16" s="20"/>
      <c r="I16" s="280">
        <f>IF(Ingreso!G207="","",Ingreso!G207)</f>
        <v>2</v>
      </c>
      <c r="J16" s="237" t="s">
        <v>0</v>
      </c>
      <c r="K16" s="280">
        <f>IF(Ingreso!J207="","",Ingreso!J207)</f>
        <v>1</v>
      </c>
      <c r="L16" s="192" t="str">
        <f>IF(AND(K16&lt;&gt;"",I16&lt;&gt;""),IF(K16=I16,"E",IF(K16&gt;I16,"G","P")),"")</f>
        <v>P</v>
      </c>
      <c r="M16" s="19"/>
      <c r="N16" s="193" t="str">
        <f>VLOOKUP(A16,tDatos[],6,0)</f>
        <v>COSTA de MARFIL</v>
      </c>
      <c r="O16" s="18"/>
      <c r="P16" s="218" t="str">
        <f>VLOOKUP(A16,tDatos[],9,0)</f>
        <v>Toronto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ALEMANIACOSTA de MARFIL</v>
      </c>
      <c r="AS16" s="148" t="str">
        <f>IF(I16&gt;K16,F16,IF(K16&gt;I16,N16,""))</f>
        <v>ALEMANIA</v>
      </c>
      <c r="AT16" s="149">
        <f>I16</f>
        <v>2</v>
      </c>
      <c r="AU16" s="149">
        <f>K16</f>
        <v>1</v>
      </c>
      <c r="AV16" s="149">
        <f>AT16-AU16</f>
        <v>1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COSTA de MARFILALEMANIA</v>
      </c>
      <c r="AS17" s="148" t="str">
        <f>IF(I16&gt;K16,F16,IF(K16&gt;I16,N16,""))</f>
        <v>ALEMANIA</v>
      </c>
      <c r="AT17" s="149">
        <f>K16</f>
        <v>1</v>
      </c>
      <c r="AU17" s="149">
        <f>I16</f>
        <v>2</v>
      </c>
      <c r="AV17" s="149">
        <f>AT17-AU17</f>
        <v>-1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35</v>
      </c>
      <c r="B20" s="196">
        <v>34</v>
      </c>
      <c r="C20" s="195">
        <f>VLOOKUP(A20,tDatos[],IF(UTCElegido="",3,12),0)</f>
        <v>46193</v>
      </c>
      <c r="D20" s="197">
        <f>VLOOKUP(A20,tDatos[],IF(UTCElegido="",4,12),0)</f>
        <v>0.83333333333333337</v>
      </c>
      <c r="E20" s="18"/>
      <c r="F20" s="198" t="str">
        <f>VLOOKUP(A20,tDatos[],5,0)</f>
        <v>ECUADOR</v>
      </c>
      <c r="G20" s="192" t="str">
        <f>IF(AND(I20&lt;&gt;"",K20&lt;&gt;""),IF(I20=K20,"E",IF(I20&gt;K20,"G","P")),"")</f>
        <v>E</v>
      </c>
      <c r="H20" s="20"/>
      <c r="I20" s="280">
        <f>IF(Ingreso!G213="","",Ingreso!G213)</f>
        <v>0</v>
      </c>
      <c r="J20" s="237" t="s">
        <v>0</v>
      </c>
      <c r="K20" s="280">
        <f>IF(Ingreso!J213="","",Ingreso!J213)</f>
        <v>0</v>
      </c>
      <c r="L20" s="192" t="str">
        <f>IF(AND(K20&lt;&gt;"",I20&lt;&gt;""),IF(K20=I20,"E",IF(K20&gt;I20,"G","P")),"")</f>
        <v>E</v>
      </c>
      <c r="M20" s="19"/>
      <c r="N20" s="193" t="str">
        <f>VLOOKUP(A20,tDatos[],6,0)</f>
        <v>CURAZAO</v>
      </c>
      <c r="O20" s="18"/>
      <c r="P20" s="218" t="str">
        <f>VLOOKUP(A20,tDatos[],9,0)</f>
        <v>Kansas City</v>
      </c>
      <c r="R20" s="240" t="str">
        <f>"  3)  " &amp; VLOOKUP(3,$AE$10:$AF$29,2,0)</f>
        <v xml:space="preserve">  3)  ECUADOR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1</v>
      </c>
      <c r="Y20" s="248">
        <f>VLOOKUP(3,$AE$10:$AJ$29,6,0)</f>
        <v>1</v>
      </c>
      <c r="Z20" s="248">
        <f>VLOOKUP(3,$AE$10:$AK$29,7,0)</f>
        <v>2</v>
      </c>
      <c r="AA20" s="248">
        <f>VLOOKUP(3,$AE$10:$AL$29,8,0)</f>
        <v>2</v>
      </c>
      <c r="AB20" s="247">
        <f>Z20-AA20</f>
        <v>0</v>
      </c>
      <c r="AC20" s="252">
        <f>(W20*3)+X20</f>
        <v>4</v>
      </c>
      <c r="AD20" s="223">
        <f>RANK(AO20,$AO$10:$AO$29,0)</f>
        <v>2</v>
      </c>
      <c r="AE20" s="223">
        <f>RANK(AP20,$AP$10:$AP$29,1)</f>
        <v>2</v>
      </c>
      <c r="AF20" s="223" t="str">
        <f>F12</f>
        <v>COSTA de MARFIL</v>
      </c>
      <c r="AG20" s="249">
        <f>3-COUNTIF(I34:K34,"")</f>
        <v>3</v>
      </c>
      <c r="AH20" s="223">
        <f>COUNTIF(I34:K34,"G")</f>
        <v>2</v>
      </c>
      <c r="AI20" s="223">
        <f>COUNTIF(I34:K34,"E")</f>
        <v>0</v>
      </c>
      <c r="AJ20" s="223">
        <f>COUNTIF(I34:K34,"P")</f>
        <v>1</v>
      </c>
      <c r="AK20" s="249">
        <f>SUM(I12,K16,K24)</f>
        <v>4</v>
      </c>
      <c r="AL20" s="249">
        <f>SUM(K12,I16,I24)</f>
        <v>2</v>
      </c>
      <c r="AM20" s="223">
        <f>AK20-AL20</f>
        <v>2</v>
      </c>
      <c r="AN20" s="223">
        <f>(AH20*3)+AI20*vcp</f>
        <v>6</v>
      </c>
      <c r="AO20" s="223">
        <f>IF($AO$6&gt;0,AN20*10+1)</f>
        <v>61</v>
      </c>
      <c r="AP20" s="223">
        <f>IF(AF20=$R$38,BF20-100,IF(AF20=$R$37,BF20-200,IF(AF20=$R$36,BF20-300,BF20)))</f>
        <v>2</v>
      </c>
      <c r="AQ20" s="223" t="str">
        <f>IF(R38="",IF(SUM($V$10:$V$29)&gt;0,VLOOKUP(3,$AE$10:$AF$29,2,0),""),R38)</f>
        <v>ECUADOR</v>
      </c>
      <c r="AR20" s="148" t="str">
        <f>F20&amp;N20</f>
        <v>ECUADORCURAZAO</v>
      </c>
      <c r="AS20" s="148" t="str">
        <f>IF(I20&gt;K20,F20,IF(K20&gt;I20,N20,""))</f>
        <v/>
      </c>
      <c r="AT20" s="149">
        <f>I20</f>
        <v>0</v>
      </c>
      <c r="AU20" s="149">
        <f>K20</f>
        <v>0</v>
      </c>
      <c r="AV20" s="149">
        <f>AT20-AU20</f>
        <v>0</v>
      </c>
      <c r="AW20" s="225">
        <f>RANK(AY20,$AY$10:$AY$29,0)</f>
        <v>2</v>
      </c>
      <c r="AX20" s="226">
        <f>IF(AND($AO$6&gt;0,$AP$6&gt;0),AN20*10000+AZ20,AO20)</f>
        <v>60000</v>
      </c>
      <c r="AY20" s="226">
        <f>IF(AND($AO$6&gt;0,$AP$6&gt;0),AN20*10000+AZ20-2,AO20)</f>
        <v>59998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2</v>
      </c>
      <c r="BB20" s="225">
        <f>AX20+BD20</f>
        <v>60000</v>
      </c>
      <c r="BC20" s="226">
        <f>AX20+BD20+1</f>
        <v>60001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60000.01</v>
      </c>
      <c r="BF20" s="225">
        <f>RANK(BE20,$BE$10:$BE$29)</f>
        <v>2</v>
      </c>
      <c r="BG20" s="279">
        <f>BE20-0.01</f>
        <v>60000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CURAZAOECUADOR</v>
      </c>
      <c r="AS21" s="148" t="str">
        <f>IF(I20&gt;K20,F20,IF(K20&gt;I20,N20,""))</f>
        <v/>
      </c>
      <c r="AT21" s="149">
        <f>K20</f>
        <v>0</v>
      </c>
      <c r="AU21" s="149">
        <f>I20</f>
        <v>0</v>
      </c>
      <c r="AV21" s="149">
        <f>AT21-AU21</f>
        <v>0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55</v>
      </c>
      <c r="B24" s="196">
        <v>55</v>
      </c>
      <c r="C24" s="195">
        <f>VLOOKUP(A24,tDatos[],IF(UTCElegido="",3,12),0)</f>
        <v>46198</v>
      </c>
      <c r="D24" s="197">
        <f>VLOOKUP(A24,tDatos[],IF(UTCElegido="",4,12),0)</f>
        <v>0.66666666666666663</v>
      </c>
      <c r="E24" s="18"/>
      <c r="F24" s="198" t="str">
        <f>VLOOKUP(A24,tDatos[],5,0)</f>
        <v>CURAZAO</v>
      </c>
      <c r="G24" s="192" t="str">
        <f>IF(AND(I24&lt;&gt;"",K24&lt;&gt;""),IF(I24=K24,"E",IF(I24&gt;K24,"G","P")),"")</f>
        <v>P</v>
      </c>
      <c r="H24" s="20"/>
      <c r="I24" s="280">
        <f>IF(Ingreso!G333="","",Ingreso!G333)</f>
        <v>0</v>
      </c>
      <c r="J24" s="237" t="s">
        <v>0</v>
      </c>
      <c r="K24" s="280">
        <f>IF(Ingreso!J333="","",Ingreso!J333)</f>
        <v>2</v>
      </c>
      <c r="L24" s="192" t="str">
        <f>IF(AND(K24&lt;&gt;"",I24&lt;&gt;""),IF(K24=I24,"E",IF(K24&gt;I24,"G","P")),"")</f>
        <v>G</v>
      </c>
      <c r="M24" s="19"/>
      <c r="N24" s="193" t="str">
        <f>VLOOKUP(A24,tDatos[],6,0)</f>
        <v>COSTA de MARFIL</v>
      </c>
      <c r="O24" s="18"/>
      <c r="P24" s="218" t="str">
        <f>VLOOKUP(A24,tDatos[],9,0)</f>
        <v>Filadelfia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CURAZAOCOSTA de MARFIL</v>
      </c>
      <c r="AS24" s="148" t="str">
        <f>IF(I24&gt;K24,F24,IF(K24&gt;I24,N24,""))</f>
        <v>COSTA de MARFIL</v>
      </c>
      <c r="AT24" s="149">
        <f>I24</f>
        <v>0</v>
      </c>
      <c r="AU24" s="149">
        <f>K24</f>
        <v>2</v>
      </c>
      <c r="AV24" s="149">
        <f>AT24-AU24</f>
        <v>-2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CURAZAO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1</v>
      </c>
      <c r="Y25" s="248">
        <f>VLOOKUP(4,$AE$10:$AJ$29,6,0)</f>
        <v>2</v>
      </c>
      <c r="Z25" s="248">
        <f>VLOOKUP(4,$AE$10:$AK$29,7,0)</f>
        <v>1</v>
      </c>
      <c r="AA25" s="248">
        <f>VLOOKUP(4,$AE$10:$AL$29,8,0)</f>
        <v>9</v>
      </c>
      <c r="AB25" s="247">
        <f>Z25-AA25</f>
        <v>-8</v>
      </c>
      <c r="AC25" s="252">
        <f>(W25*3)+X25</f>
        <v>1</v>
      </c>
      <c r="AD25" s="223">
        <f>RANK(AO25,$AO$10:$AO$29,0)</f>
        <v>3</v>
      </c>
      <c r="AE25" s="223">
        <f>RANK(AP25,$AP$10:$AP$29,1)</f>
        <v>3</v>
      </c>
      <c r="AF25" s="223" t="str">
        <f>N12</f>
        <v>ECUADOR</v>
      </c>
      <c r="AG25" s="249">
        <f>3-COUNTIF(I35:K35,"")</f>
        <v>3</v>
      </c>
      <c r="AH25" s="223">
        <f>COUNTIF(I35:K35,"G")</f>
        <v>1</v>
      </c>
      <c r="AI25" s="223">
        <f>COUNTIF(I35:K35,"E")</f>
        <v>1</v>
      </c>
      <c r="AJ25" s="223">
        <f>COUNTIF(I35:K35,"P")</f>
        <v>1</v>
      </c>
      <c r="AK25" s="249">
        <f>SUM(K12,I20,I28)</f>
        <v>2</v>
      </c>
      <c r="AL25" s="249">
        <f>SUM(I12,K20,K28)</f>
        <v>2</v>
      </c>
      <c r="AM25" s="223">
        <f>AK25-AL25</f>
        <v>0</v>
      </c>
      <c r="AN25" s="223">
        <f>(AH25*3)+AI25*vcp</f>
        <v>4</v>
      </c>
      <c r="AO25" s="223">
        <f>IF($AO$6&gt;0,AN25*10)</f>
        <v>40</v>
      </c>
      <c r="AP25" s="223">
        <f>IF(AF25=$R$38,BF25-100,IF(AF25=$R$37,BF25-200,IF(AF25=$R$36,BF25-300,BF25)))</f>
        <v>3</v>
      </c>
      <c r="AQ25" s="223" t="str">
        <f>IF(SUM($V$10:$V$29)&gt;0,VLOOKUP(4,$AE$10:$AF$29,2,0),"")</f>
        <v>CURAZAO</v>
      </c>
      <c r="AR25" s="148" t="str">
        <f>N24&amp;F24</f>
        <v>COSTA de MARFILCURAZAO</v>
      </c>
      <c r="AS25" s="148" t="str">
        <f>IF(I24&gt;K24,F24,IF(K24&gt;I24,N24,""))</f>
        <v>COSTA de MARFIL</v>
      </c>
      <c r="AT25" s="149">
        <f>K24</f>
        <v>2</v>
      </c>
      <c r="AU25" s="149">
        <f>I24</f>
        <v>0</v>
      </c>
      <c r="AV25" s="149">
        <f>AT25-AU25</f>
        <v>2</v>
      </c>
      <c r="AW25" s="225">
        <f>RANK(AY25,$AY$10:$AY$29,0)</f>
        <v>3</v>
      </c>
      <c r="AX25" s="226">
        <f>IF(AND($AO$6&gt;0,$AP$6&gt;0),AN25*10000+AZ25,AO25)</f>
        <v>40000</v>
      </c>
      <c r="AY25" s="226">
        <f>IF(AND($AO$6&gt;0,$AP$6&gt;0),AN25*10000+AZ25-3,AO25)</f>
        <v>39997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3</v>
      </c>
      <c r="BB25" s="225">
        <f>AX25+BD25</f>
        <v>40000</v>
      </c>
      <c r="BC25" s="226">
        <f>AX25+BD25</f>
        <v>40000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40000</v>
      </c>
      <c r="BF25" s="225">
        <f>RANK(BE25,$BE$10:$BE$29)</f>
        <v>3</v>
      </c>
      <c r="BG25" s="279">
        <f>BE25</f>
        <v>40000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56</v>
      </c>
      <c r="B28" s="196">
        <v>56</v>
      </c>
      <c r="C28" s="195">
        <f>VLOOKUP(A28,tDatos[],IF(UTCElegido="",3,12),0)</f>
        <v>46198</v>
      </c>
      <c r="D28" s="197">
        <f>VLOOKUP(A28,tDatos[],IF(UTCElegido="",4,12),0)</f>
        <v>0.66666666666666663</v>
      </c>
      <c r="E28" s="18"/>
      <c r="F28" s="198" t="str">
        <f>VLOOKUP(A28,tDatos[],5,0)</f>
        <v>ECUADOR</v>
      </c>
      <c r="G28" s="192" t="str">
        <f>IF(AND(I28&lt;&gt;"",K28&lt;&gt;""),IF(I28=K28,"E",IF(I28&gt;K28,"G","P")),"")</f>
        <v>G</v>
      </c>
      <c r="H28" s="20"/>
      <c r="I28" s="280">
        <f>IF(Ingreso!G339="","",Ingreso!G339)</f>
        <v>2</v>
      </c>
      <c r="J28" s="237" t="s">
        <v>0</v>
      </c>
      <c r="K28" s="280">
        <f>IF(Ingreso!J339="","",Ingreso!J339)</f>
        <v>1</v>
      </c>
      <c r="L28" s="192" t="str">
        <f>IF(AND(K28&lt;&gt;"",I28&lt;&gt;""),IF(K28=I28,"E",IF(K28&gt;I28,"G","P")),"")</f>
        <v>P</v>
      </c>
      <c r="M28" s="19"/>
      <c r="N28" s="193" t="str">
        <f>VLOOKUP(A28,tDatos[],6,0)</f>
        <v>ALEMANIA</v>
      </c>
      <c r="O28" s="18"/>
      <c r="P28" s="218" t="str">
        <f>VLOOKUP(A28,tDatos[],9,0)</f>
        <v>N. York/N. Jersey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ECUADORALEMANIA</v>
      </c>
      <c r="AS28" s="148" t="str">
        <f>IF(I28&gt;K28,F28,IF(K28&gt;I28,N28,""))</f>
        <v>ECUADOR</v>
      </c>
      <c r="AT28" s="149">
        <f>I28</f>
        <v>2</v>
      </c>
      <c r="AU28" s="149">
        <f>K28</f>
        <v>1</v>
      </c>
      <c r="AV28" s="149">
        <f>AT28-AU28</f>
        <v>1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ALEMANIAECUADOR</v>
      </c>
      <c r="AS29" s="148" t="str">
        <f>IF(I28&gt;K28,F28,IF(K28&gt;I28,N28,""))</f>
        <v>ECUADOR</v>
      </c>
      <c r="AT29" s="149">
        <f>K28</f>
        <v>1</v>
      </c>
      <c r="AU29" s="149">
        <f>I28</f>
        <v>2</v>
      </c>
      <c r="AV29" s="149">
        <f>AT29-AU29</f>
        <v>-1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ALEMANIA</v>
      </c>
      <c r="I32" t="str">
        <f>G8</f>
        <v>G</v>
      </c>
      <c r="J32" t="str">
        <f>G16</f>
        <v>G</v>
      </c>
      <c r="K32" t="str">
        <f>L28</f>
        <v>P</v>
      </c>
    </row>
    <row r="33" spans="6:21" hidden="1" x14ac:dyDescent="0.25">
      <c r="F33" t="str">
        <f>N8</f>
        <v>CURAZAO</v>
      </c>
      <c r="I33" t="str">
        <f>L8</f>
        <v>P</v>
      </c>
      <c r="J33" t="str">
        <f>L20</f>
        <v>E</v>
      </c>
      <c r="K33" t="str">
        <f>G24</f>
        <v>P</v>
      </c>
    </row>
    <row r="34" spans="6:21" hidden="1" x14ac:dyDescent="0.25">
      <c r="F34" t="str">
        <f>F12</f>
        <v>COSTA de MARFIL</v>
      </c>
      <c r="I34" t="str">
        <f>G12</f>
        <v>G</v>
      </c>
      <c r="J34" t="str">
        <f>L16</f>
        <v>P</v>
      </c>
      <c r="K34" t="str">
        <f>L24</f>
        <v>G</v>
      </c>
    </row>
    <row r="35" spans="6:21" hidden="1" x14ac:dyDescent="0.25">
      <c r="F35" t="str">
        <f>N12</f>
        <v>ECUADOR</v>
      </c>
      <c r="I35" t="str">
        <f>L12</f>
        <v>P</v>
      </c>
      <c r="J35" t="str">
        <f>G20</f>
        <v>E</v>
      </c>
      <c r="K35" t="str">
        <f>G28</f>
        <v>G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59105794-3327-4E60-BC70-39C98F2735AA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AD44-EDEB-4A26-9D4D-911032086E4B}">
  <sheetPr codeName="Hoja8"/>
  <dimension ref="A1:BH38"/>
  <sheetViews>
    <sheetView showGridLines="0" showRowColHeaders="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0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0</v>
      </c>
      <c r="AY6" s="147"/>
      <c r="BB6" s="147">
        <f>(BB10=BB15)+(BB15=BB20)+(BB20=BB25)+(BB10=BB20)+(BB15=BB25)+(BB10=BB25)</f>
        <v>0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10</v>
      </c>
      <c r="B8" s="196">
        <v>11</v>
      </c>
      <c r="C8" s="195">
        <f>VLOOKUP(A8,tDatos[],IF(UTCElegido="",3,12),0)</f>
        <v>46187</v>
      </c>
      <c r="D8" s="197">
        <f>VLOOKUP(A8,tDatos[],IF(UTCElegido="",4,12),0)</f>
        <v>0.66666666666666663</v>
      </c>
      <c r="E8" s="18"/>
      <c r="F8" s="198" t="str">
        <f>VLOOKUP(A8,tDatos[],5,0)</f>
        <v>PAÍSES BAJOS</v>
      </c>
      <c r="G8" s="192" t="str">
        <f>IF(AND(I8&lt;&gt;"",K8&lt;&gt;""),IF(I8=K8,"E",IF(I8&gt;K8,"G","P")),"")</f>
        <v>E</v>
      </c>
      <c r="H8" s="20"/>
      <c r="I8" s="280">
        <f>IF(Ingreso!G63="","",Ingreso!G63)</f>
        <v>2</v>
      </c>
      <c r="J8" s="237" t="s">
        <v>0</v>
      </c>
      <c r="K8" s="280">
        <f>IF(Ingreso!J63="","",Ingreso!J63)</f>
        <v>2</v>
      </c>
      <c r="L8" s="192" t="str">
        <f>IF(AND(K8&lt;&gt;"",I8&lt;&gt;""),IF(K8=I8,"E",IF(K8&gt;I8,"G","P")),"")</f>
        <v>E</v>
      </c>
      <c r="M8" s="19"/>
      <c r="N8" s="193" t="str">
        <f>VLOOKUP(A8,tDatos[],6,0)</f>
        <v>JAPÓN</v>
      </c>
      <c r="O8" s="18"/>
      <c r="P8" s="218" t="str">
        <f>VLOOKUP(A8,tDatos[],9,0)</f>
        <v>Dallas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PAÍSES BAJOSJAPÓN</v>
      </c>
      <c r="AS8" s="148" t="str">
        <f>IF(I8&gt;K8,F8,IF(K8&gt;I8,N8,""))</f>
        <v/>
      </c>
      <c r="AT8" s="149">
        <f>I8</f>
        <v>2</v>
      </c>
      <c r="AU8" s="149">
        <f>K8</f>
        <v>2</v>
      </c>
      <c r="AV8" s="149">
        <f>AT8-AU8</f>
        <v>0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JAPÓNPAÍSES BAJOS</v>
      </c>
      <c r="AS9" s="148" t="str">
        <f>IF(I8&gt;K8,F8,IF(K8&gt;I8,N8,""))</f>
        <v/>
      </c>
      <c r="AT9" s="149">
        <f>K8</f>
        <v>2</v>
      </c>
      <c r="AU9" s="149">
        <f>I8</f>
        <v>2</v>
      </c>
      <c r="AV9" s="149">
        <f>AT9-AU9</f>
        <v>0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PAÍSES BAJOS</v>
      </c>
      <c r="S10" s="266"/>
      <c r="T10" s="266"/>
      <c r="U10" s="267"/>
      <c r="V10" s="274">
        <f>VLOOKUP(1,$AE$10:$AG$29,3,0)</f>
        <v>3</v>
      </c>
      <c r="W10" s="246">
        <f>VLOOKUP(1,$AE$10:$AH$29,4,0)</f>
        <v>2</v>
      </c>
      <c r="X10" s="246">
        <f>VLOOKUP(1,$AE$10:$AI$29,5,0)</f>
        <v>1</v>
      </c>
      <c r="Y10" s="246">
        <f>VLOOKUP(1,$AE$10:$AJ$29,6,0)</f>
        <v>0</v>
      </c>
      <c r="Z10" s="246">
        <f>VLOOKUP(1,$AE$10:$AK$29,7,0)</f>
        <v>10</v>
      </c>
      <c r="AA10" s="246">
        <f>VLOOKUP(1,$AE$10:$AL$29,8,0)</f>
        <v>4</v>
      </c>
      <c r="AB10" s="246">
        <f>Z10-AA10</f>
        <v>6</v>
      </c>
      <c r="AC10" s="275">
        <f>(W10*3)+X10</f>
        <v>7</v>
      </c>
      <c r="AD10" s="223">
        <f>RANK(AO10,$AO$10:$AO$29,0)</f>
        <v>1</v>
      </c>
      <c r="AE10" s="223">
        <f>RANK(AP10,$AP$10:$AP$29,1)</f>
        <v>1</v>
      </c>
      <c r="AF10" s="223" t="str">
        <f>F8</f>
        <v>PAÍSES BAJOS</v>
      </c>
      <c r="AG10" s="249">
        <f>3-COUNTIF(I32:K32,"")</f>
        <v>3</v>
      </c>
      <c r="AH10" s="223">
        <f>COUNTIF(I32:K32,"G")</f>
        <v>2</v>
      </c>
      <c r="AI10" s="223">
        <f>COUNTIF(I32:K32,"E")</f>
        <v>1</v>
      </c>
      <c r="AJ10" s="223">
        <f>COUNTIF(I32:K32,"P")</f>
        <v>0</v>
      </c>
      <c r="AK10" s="223">
        <f>SUM(I8,I16,K28)</f>
        <v>10</v>
      </c>
      <c r="AL10" s="223">
        <f>SUM(K8,K16,I28)</f>
        <v>4</v>
      </c>
      <c r="AM10" s="223">
        <f>AK10-AL10</f>
        <v>6</v>
      </c>
      <c r="AN10" s="223">
        <f>(AH10*3)+AI10*vcp</f>
        <v>7</v>
      </c>
      <c r="AO10" s="223">
        <f>IF($AO$6&gt;0,AN10*10+3)</f>
        <v>73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PAÍSES BAJOS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73</v>
      </c>
      <c r="AY10" s="226">
        <f>IF(AND($AO$6&gt;0,$AP$6&gt;0),AN10*10000+AZ10,AO10)</f>
        <v>73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73</v>
      </c>
      <c r="BC10" s="226">
        <f>AX10+BD10+3</f>
        <v>76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73.03</v>
      </c>
      <c r="BF10" s="225">
        <f>RANK(BE10,$BE$10:$BE$29)</f>
        <v>1</v>
      </c>
      <c r="BG10" s="279">
        <f>BE10-0.03</f>
        <v>73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12</v>
      </c>
      <c r="B12" s="196">
        <v>12</v>
      </c>
      <c r="C12" s="195">
        <f>VLOOKUP(A12,tDatos[],IF(UTCElegido="",3,12),0)</f>
        <v>46187</v>
      </c>
      <c r="D12" s="197">
        <f>VLOOKUP(A12,tDatos[],IF(UTCElegido="",4,12),0)</f>
        <v>0.91666666666666663</v>
      </c>
      <c r="E12" s="18"/>
      <c r="F12" s="198" t="str">
        <f>VLOOKUP(A12,tDatos[],5,0)</f>
        <v>SUECIA</v>
      </c>
      <c r="G12" s="192" t="str">
        <f>IF(AND(I12&lt;&gt;"",K12&lt;&gt;""),IF(I12=K12,"E",IF(I12&gt;K12,"G","P")),"")</f>
        <v>G</v>
      </c>
      <c r="H12" s="20"/>
      <c r="I12" s="280">
        <f>IF(Ingreso!G75="","",Ingreso!G75)</f>
        <v>5</v>
      </c>
      <c r="J12" s="237" t="s">
        <v>0</v>
      </c>
      <c r="K12" s="280">
        <f>IF(Ingreso!J75="","",Ingreso!J75)</f>
        <v>1</v>
      </c>
      <c r="L12" s="192" t="str">
        <f>IF(AND(K12&lt;&gt;"",I12&lt;&gt;""),IF(K12=I12,"E",IF(K12&gt;I12,"G","P")),"")</f>
        <v>P</v>
      </c>
      <c r="M12" s="19"/>
      <c r="N12" s="193" t="str">
        <f>VLOOKUP(A12,tDatos[],6,0)</f>
        <v>TÚNEZ</v>
      </c>
      <c r="O12" s="18"/>
      <c r="P12" s="218" t="str">
        <f>VLOOKUP(A12,tDatos[],9,0)</f>
        <v>Monterrey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SUECIATÚNEZ</v>
      </c>
      <c r="AS12" s="148" t="str">
        <f>IF(I12&gt;K12,F12,IF(K12&gt;I12,N12,""))</f>
        <v>SUECIA</v>
      </c>
      <c r="AT12" s="149">
        <f>I12</f>
        <v>5</v>
      </c>
      <c r="AU12" s="149">
        <f>K12</f>
        <v>1</v>
      </c>
      <c r="AV12" s="149">
        <f>AT12-AU12</f>
        <v>4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TÚNEZSUECIA</v>
      </c>
      <c r="AS13" s="148" t="str">
        <f>IF(I12&gt;K12,F12,IF(K12&gt;I12,N12,""))</f>
        <v>SUECIA</v>
      </c>
      <c r="AT13" s="149">
        <f>K12</f>
        <v>1</v>
      </c>
      <c r="AU13" s="149">
        <f>I12</f>
        <v>5</v>
      </c>
      <c r="AV13" s="149">
        <f>AT13-AU13</f>
        <v>-4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JAPÓN</v>
      </c>
      <c r="S15" s="266"/>
      <c r="T15" s="266"/>
      <c r="U15" s="267"/>
      <c r="V15" s="274">
        <f>VLOOKUP(2,$AE$10:$AG$29,3,0)</f>
        <v>3</v>
      </c>
      <c r="W15" s="246">
        <f>VLOOKUP(2,$AE$10:$AH$29,4,0)</f>
        <v>1</v>
      </c>
      <c r="X15" s="246">
        <f>VLOOKUP(2,$AE$10:$AI$29,5,0)</f>
        <v>2</v>
      </c>
      <c r="Y15" s="246">
        <f>VLOOKUP(2,$AE$10:$AJ$29,6,0)</f>
        <v>0</v>
      </c>
      <c r="Z15" s="246">
        <f>VLOOKUP(2,$AE$10:$AK$29,7,0)</f>
        <v>7</v>
      </c>
      <c r="AA15" s="246">
        <f>VLOOKUP(2,$AE$10:$AL$29,8,0)</f>
        <v>3</v>
      </c>
      <c r="AB15" s="246">
        <f>Z15-AA15</f>
        <v>4</v>
      </c>
      <c r="AC15" s="275">
        <f>(W15*3)+X15</f>
        <v>5</v>
      </c>
      <c r="AD15" s="223">
        <f>RANK(AO15,$AO$10:$AO$29,0)</f>
        <v>2</v>
      </c>
      <c r="AE15" s="223">
        <f>RANK(AP15,$AP$10:$AP$29,1)</f>
        <v>2</v>
      </c>
      <c r="AF15" s="223" t="str">
        <f>N8</f>
        <v>JAPÓN</v>
      </c>
      <c r="AG15" s="249">
        <f>3-COUNTIF(I33:K33,"")</f>
        <v>3</v>
      </c>
      <c r="AH15" s="223">
        <f>COUNTIF(I33:K33,"G")</f>
        <v>1</v>
      </c>
      <c r="AI15" s="223">
        <f>COUNTIF(I33:K33,"E")</f>
        <v>2</v>
      </c>
      <c r="AJ15" s="223">
        <f>COUNTIF(I33:K33,"P")</f>
        <v>0</v>
      </c>
      <c r="AK15" s="249">
        <f>SUM(K8,K20,I24)</f>
        <v>7</v>
      </c>
      <c r="AL15" s="223">
        <f>SUM(I8,I20,K24)</f>
        <v>3</v>
      </c>
      <c r="AM15" s="223">
        <f>AK15-AL15</f>
        <v>4</v>
      </c>
      <c r="AN15" s="223">
        <f>(AH15*3)+AI15*vcp</f>
        <v>5</v>
      </c>
      <c r="AO15" s="223">
        <f>IF($AO$6&gt;0,AN15*10+2)</f>
        <v>52</v>
      </c>
      <c r="AP15" s="223">
        <f>IF(AF15=$R$38,BF15-100,IF(AF15=$R$37,BF15-200,IF(AF15=$R$36,BF15-300,BF15)))</f>
        <v>2</v>
      </c>
      <c r="AQ15" s="223" t="str">
        <f>IF(R37="",IF(SUM($V$10:$V$29)&gt;0,VLOOKUP(2,$AE$10:$AF$29,2,0),""),R37)</f>
        <v>JAPÓN</v>
      </c>
      <c r="AR15" s="151"/>
      <c r="AS15" s="148"/>
      <c r="AT15" s="148"/>
      <c r="AU15" s="148"/>
      <c r="AV15" s="152"/>
      <c r="AW15" s="225">
        <f>RANK(AY15,$AY$10:$AY$29,0)</f>
        <v>2</v>
      </c>
      <c r="AX15" s="226">
        <f>IF(AND($AO$6&gt;0,$AP$6&gt;0),AN15*10000+AZ15,AO15)</f>
        <v>52</v>
      </c>
      <c r="AY15" s="226">
        <f>IF(AND($AO$6&gt;0,$AP$6&gt;0),AN15*10000+AZ15-1,AO15)</f>
        <v>52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2</v>
      </c>
      <c r="BB15" s="225">
        <f>AX15+BD15</f>
        <v>52</v>
      </c>
      <c r="BC15" s="226">
        <f>AX15+BD15+2</f>
        <v>54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52.02</v>
      </c>
      <c r="BF15" s="225">
        <f>RANK(BE15,$BE$10:$BE$29)</f>
        <v>2</v>
      </c>
      <c r="BG15" s="279">
        <f>BE15-0.02</f>
        <v>52</v>
      </c>
      <c r="BH15" s="279">
        <f>COUNTIF($BG$10:$BG$29,BG15)</f>
        <v>1</v>
      </c>
    </row>
    <row r="16" spans="1:60" ht="7.5" customHeight="1" x14ac:dyDescent="0.25">
      <c r="A16" s="229">
        <v>33</v>
      </c>
      <c r="B16" s="196">
        <v>35</v>
      </c>
      <c r="C16" s="195">
        <f>VLOOKUP(A16,tDatos[],IF(UTCElegido="",3,12),0)</f>
        <v>46193</v>
      </c>
      <c r="D16" s="197">
        <f>VLOOKUP(A16,tDatos[],IF(UTCElegido="",4,12),0)</f>
        <v>0.54166666666666663</v>
      </c>
      <c r="E16" s="18"/>
      <c r="F16" s="198" t="str">
        <f>VLOOKUP(A16,tDatos[],5,0)</f>
        <v>PAÍSES BAJOS</v>
      </c>
      <c r="G16" s="192" t="str">
        <f>IF(AND(I16&lt;&gt;"",K16&lt;&gt;""),IF(I16=K16,"E",IF(I16&gt;K16,"G","P")),"")</f>
        <v>G</v>
      </c>
      <c r="H16" s="20"/>
      <c r="I16" s="280">
        <f>IF(Ingreso!G201="","",Ingreso!G201)</f>
        <v>5</v>
      </c>
      <c r="J16" s="237" t="s">
        <v>0</v>
      </c>
      <c r="K16" s="280">
        <f>IF(Ingreso!J201="","",Ingreso!J201)</f>
        <v>1</v>
      </c>
      <c r="L16" s="192" t="str">
        <f>IF(AND(K16&lt;&gt;"",I16&lt;&gt;""),IF(K16=I16,"E",IF(K16&gt;I16,"G","P")),"")</f>
        <v>P</v>
      </c>
      <c r="M16" s="19"/>
      <c r="N16" s="193" t="str">
        <f>VLOOKUP(A16,tDatos[],6,0)</f>
        <v>SUECIA</v>
      </c>
      <c r="O16" s="18"/>
      <c r="P16" s="218" t="str">
        <f>VLOOKUP(A16,tDatos[],9,0)</f>
        <v>Houston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PAÍSES BAJOSSUECIA</v>
      </c>
      <c r="AS16" s="148" t="str">
        <f>IF(I16&gt;K16,F16,IF(K16&gt;I16,N16,""))</f>
        <v>PAÍSES BAJOS</v>
      </c>
      <c r="AT16" s="149">
        <f>I16</f>
        <v>5</v>
      </c>
      <c r="AU16" s="149">
        <f>K16</f>
        <v>1</v>
      </c>
      <c r="AV16" s="149">
        <f>AT16-AU16</f>
        <v>4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SUECIAPAÍSES BAJOS</v>
      </c>
      <c r="AS17" s="148" t="str">
        <f>IF(I16&gt;K16,F16,IF(K16&gt;I16,N16,""))</f>
        <v>PAÍSES BAJOS</v>
      </c>
      <c r="AT17" s="149">
        <f>K16</f>
        <v>1</v>
      </c>
      <c r="AU17" s="149">
        <f>I16</f>
        <v>5</v>
      </c>
      <c r="AV17" s="149">
        <f>AT17-AU17</f>
        <v>-4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36</v>
      </c>
      <c r="B20" s="196">
        <v>36</v>
      </c>
      <c r="C20" s="195">
        <f>VLOOKUP(A20,tDatos[],IF(UTCElegido="",3,12),0)</f>
        <v>46194</v>
      </c>
      <c r="D20" s="197">
        <f>VLOOKUP(A20,tDatos[],IF(UTCElegido="",4,12),0)</f>
        <v>0</v>
      </c>
      <c r="E20" s="18"/>
      <c r="F20" s="198" t="str">
        <f>VLOOKUP(A20,tDatos[],5,0)</f>
        <v>TÚNEZ</v>
      </c>
      <c r="G20" s="192" t="str">
        <f>IF(AND(I20&lt;&gt;"",K20&lt;&gt;""),IF(I20=K20,"E",IF(I20&gt;K20,"G","P")),"")</f>
        <v>P</v>
      </c>
      <c r="H20" s="20"/>
      <c r="I20" s="280">
        <f>IF(Ingreso!G219="","",Ingreso!G219)</f>
        <v>0</v>
      </c>
      <c r="J20" s="237" t="s">
        <v>0</v>
      </c>
      <c r="K20" s="280">
        <f>IF(Ingreso!J219="","",Ingreso!J219)</f>
        <v>4</v>
      </c>
      <c r="L20" s="192" t="str">
        <f>IF(AND(K20&lt;&gt;"",I20&lt;&gt;""),IF(K20=I20,"E",IF(K20&gt;I20,"G","P")),"")</f>
        <v>G</v>
      </c>
      <c r="M20" s="19"/>
      <c r="N20" s="193" t="str">
        <f>VLOOKUP(A20,tDatos[],6,0)</f>
        <v>JAPÓN</v>
      </c>
      <c r="O20" s="18"/>
      <c r="P20" s="218" t="str">
        <f>VLOOKUP(A20,tDatos[],9,0)</f>
        <v>Monterrey</v>
      </c>
      <c r="R20" s="240" t="str">
        <f>"  3)  " &amp; VLOOKUP(3,$AE$10:$AF$29,2,0)</f>
        <v xml:space="preserve">  3)  SUECIA</v>
      </c>
      <c r="S20" s="241"/>
      <c r="T20" s="241"/>
      <c r="U20" s="241"/>
      <c r="V20" s="255">
        <f>VLOOKUP(3,$AE$10:$AG$29,3,0)</f>
        <v>3</v>
      </c>
      <c r="W20" s="248">
        <f>VLOOKUP(3,$AE$10:$AH$29,4,0)</f>
        <v>1</v>
      </c>
      <c r="X20" s="248">
        <f>VLOOKUP(3,$AE$10:$AI$29,5,0)</f>
        <v>1</v>
      </c>
      <c r="Y20" s="248">
        <f>VLOOKUP(3,$AE$10:$AJ$29,6,0)</f>
        <v>1</v>
      </c>
      <c r="Z20" s="248">
        <f>VLOOKUP(3,$AE$10:$AK$29,7,0)</f>
        <v>7</v>
      </c>
      <c r="AA20" s="248">
        <f>VLOOKUP(3,$AE$10:$AL$29,8,0)</f>
        <v>7</v>
      </c>
      <c r="AB20" s="247">
        <f>Z20-AA20</f>
        <v>0</v>
      </c>
      <c r="AC20" s="252">
        <f>(W20*3)+X20</f>
        <v>4</v>
      </c>
      <c r="AD20" s="223">
        <f>RANK(AO20,$AO$10:$AO$29,0)</f>
        <v>3</v>
      </c>
      <c r="AE20" s="223">
        <f>RANK(AP20,$AP$10:$AP$29,1)</f>
        <v>3</v>
      </c>
      <c r="AF20" s="223" t="str">
        <f>F12</f>
        <v>SUECIA</v>
      </c>
      <c r="AG20" s="249">
        <f>3-COUNTIF(I34:K34,"")</f>
        <v>3</v>
      </c>
      <c r="AH20" s="223">
        <f>COUNTIF(I34:K34,"G")</f>
        <v>1</v>
      </c>
      <c r="AI20" s="223">
        <f>COUNTIF(I34:K34,"E")</f>
        <v>1</v>
      </c>
      <c r="AJ20" s="223">
        <f>COUNTIF(I34:K34,"P")</f>
        <v>1</v>
      </c>
      <c r="AK20" s="249">
        <f>SUM(I12,K16,K24)</f>
        <v>7</v>
      </c>
      <c r="AL20" s="249">
        <f>SUM(K12,I16,I24)</f>
        <v>7</v>
      </c>
      <c r="AM20" s="223">
        <f>AK20-AL20</f>
        <v>0</v>
      </c>
      <c r="AN20" s="223">
        <f>(AH20*3)+AI20*vcp</f>
        <v>4</v>
      </c>
      <c r="AO20" s="223">
        <f>IF($AO$6&gt;0,AN20*10+1)</f>
        <v>41</v>
      </c>
      <c r="AP20" s="223">
        <f>IF(AF20=$R$38,BF20-100,IF(AF20=$R$37,BF20-200,IF(AF20=$R$36,BF20-300,BF20)))</f>
        <v>3</v>
      </c>
      <c r="AQ20" s="223" t="str">
        <f>IF(R38="",IF(SUM($V$10:$V$29)&gt;0,VLOOKUP(3,$AE$10:$AF$29,2,0),""),R38)</f>
        <v>SUECIA</v>
      </c>
      <c r="AR20" s="148" t="str">
        <f>F20&amp;N20</f>
        <v>TÚNEZJAPÓN</v>
      </c>
      <c r="AS20" s="148" t="str">
        <f>IF(I20&gt;K20,F20,IF(K20&gt;I20,N20,""))</f>
        <v>JAPÓN</v>
      </c>
      <c r="AT20" s="149">
        <f>I20</f>
        <v>0</v>
      </c>
      <c r="AU20" s="149">
        <f>K20</f>
        <v>4</v>
      </c>
      <c r="AV20" s="149">
        <f>AT20-AU20</f>
        <v>-4</v>
      </c>
      <c r="AW20" s="225">
        <f>RANK(AY20,$AY$10:$AY$29,0)</f>
        <v>3</v>
      </c>
      <c r="AX20" s="226">
        <f>IF(AND($AO$6&gt;0,$AP$6&gt;0),AN20*10000+AZ20,AO20)</f>
        <v>41</v>
      </c>
      <c r="AY20" s="226">
        <f>IF(AND($AO$6&gt;0,$AP$6&gt;0),AN20*10000+AZ20-2,AO20)</f>
        <v>41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3</v>
      </c>
      <c r="BB20" s="225">
        <f>AX20+BD20</f>
        <v>41</v>
      </c>
      <c r="BC20" s="226">
        <f>AX20+BD20+1</f>
        <v>42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41.01</v>
      </c>
      <c r="BF20" s="225">
        <f>RANK(BE20,$BE$10:$BE$29)</f>
        <v>3</v>
      </c>
      <c r="BG20" s="279">
        <f>BE20-0.01</f>
        <v>41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JAPÓNTÚNEZ</v>
      </c>
      <c r="AS21" s="148" t="str">
        <f>IF(I20&gt;K20,F20,IF(K20&gt;I20,N20,""))</f>
        <v>JAPÓN</v>
      </c>
      <c r="AT21" s="149">
        <f>K20</f>
        <v>4</v>
      </c>
      <c r="AU21" s="149">
        <f>I20</f>
        <v>0</v>
      </c>
      <c r="AV21" s="149">
        <f>AT21-AU21</f>
        <v>4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57</v>
      </c>
      <c r="B24" s="196">
        <v>57</v>
      </c>
      <c r="C24" s="195">
        <f>VLOOKUP(A24,tDatos[],IF(UTCElegido="",3,12),0)</f>
        <v>46198</v>
      </c>
      <c r="D24" s="197">
        <f>VLOOKUP(A24,tDatos[],IF(UTCElegido="",4,12),0)</f>
        <v>0.79166666666666663</v>
      </c>
      <c r="E24" s="18"/>
      <c r="F24" s="198" t="str">
        <f>VLOOKUP(A24,tDatos[],5,0)</f>
        <v>JAPÓN</v>
      </c>
      <c r="G24" s="192" t="str">
        <f>IF(AND(I24&lt;&gt;"",K24&lt;&gt;""),IF(I24=K24,"E",IF(I24&gt;K24,"G","P")),"")</f>
        <v>E</v>
      </c>
      <c r="H24" s="20"/>
      <c r="I24" s="280">
        <f>IF(Ingreso!G345="","",Ingreso!G345)</f>
        <v>1</v>
      </c>
      <c r="J24" s="237" t="s">
        <v>0</v>
      </c>
      <c r="K24" s="280">
        <f>IF(Ingreso!J345="","",Ingreso!J345)</f>
        <v>1</v>
      </c>
      <c r="L24" s="192" t="str">
        <f>IF(AND(K24&lt;&gt;"",I24&lt;&gt;""),IF(K24=I24,"E",IF(K24&gt;I24,"G","P")),"")</f>
        <v>E</v>
      </c>
      <c r="M24" s="19"/>
      <c r="N24" s="193" t="str">
        <f>VLOOKUP(A24,tDatos[],6,0)</f>
        <v>SUECIA</v>
      </c>
      <c r="O24" s="18"/>
      <c r="P24" s="218" t="str">
        <f>VLOOKUP(A24,tDatos[],9,0)</f>
        <v>Dallas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JAPÓNSUECIA</v>
      </c>
      <c r="AS24" s="148" t="str">
        <f>IF(I24&gt;K24,F24,IF(K24&gt;I24,N24,""))</f>
        <v/>
      </c>
      <c r="AT24" s="149">
        <f>I24</f>
        <v>1</v>
      </c>
      <c r="AU24" s="149">
        <f>K24</f>
        <v>1</v>
      </c>
      <c r="AV24" s="149">
        <f>AT24-AU24</f>
        <v>0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TÚNEZ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0</v>
      </c>
      <c r="Y25" s="248">
        <f>VLOOKUP(4,$AE$10:$AJ$29,6,0)</f>
        <v>3</v>
      </c>
      <c r="Z25" s="248">
        <f>VLOOKUP(4,$AE$10:$AK$29,7,0)</f>
        <v>2</v>
      </c>
      <c r="AA25" s="248">
        <f>VLOOKUP(4,$AE$10:$AL$29,8,0)</f>
        <v>12</v>
      </c>
      <c r="AB25" s="247">
        <f>Z25-AA25</f>
        <v>-10</v>
      </c>
      <c r="AC25" s="252">
        <f>(W25*3)+X25</f>
        <v>0</v>
      </c>
      <c r="AD25" s="223">
        <f>RANK(AO25,$AO$10:$AO$29,0)</f>
        <v>4</v>
      </c>
      <c r="AE25" s="223">
        <f>RANK(AP25,$AP$10:$AP$29,1)</f>
        <v>4</v>
      </c>
      <c r="AF25" s="223" t="str">
        <f>N12</f>
        <v>TÚNEZ</v>
      </c>
      <c r="AG25" s="249">
        <f>3-COUNTIF(I35:K35,"")</f>
        <v>3</v>
      </c>
      <c r="AH25" s="223">
        <f>COUNTIF(I35:K35,"G")</f>
        <v>0</v>
      </c>
      <c r="AI25" s="223">
        <f>COUNTIF(I35:K35,"E")</f>
        <v>0</v>
      </c>
      <c r="AJ25" s="223">
        <f>COUNTIF(I35:K35,"P")</f>
        <v>3</v>
      </c>
      <c r="AK25" s="249">
        <f>SUM(K12,I20,I28)</f>
        <v>2</v>
      </c>
      <c r="AL25" s="249">
        <f>SUM(I12,K20,K28)</f>
        <v>12</v>
      </c>
      <c r="AM25" s="223">
        <f>AK25-AL25</f>
        <v>-10</v>
      </c>
      <c r="AN25" s="223">
        <f>(AH25*3)+AI25*vcp</f>
        <v>0</v>
      </c>
      <c r="AO25" s="223">
        <f>IF($AO$6&gt;0,AN25*10)</f>
        <v>0</v>
      </c>
      <c r="AP25" s="223">
        <f>IF(AF25=$R$38,BF25-100,IF(AF25=$R$37,BF25-200,IF(AF25=$R$36,BF25-300,BF25)))</f>
        <v>4</v>
      </c>
      <c r="AQ25" s="223" t="str">
        <f>IF(SUM($V$10:$V$29)&gt;0,VLOOKUP(4,$AE$10:$AF$29,2,0),"")</f>
        <v>TÚNEZ</v>
      </c>
      <c r="AR25" s="148" t="str">
        <f>N24&amp;F24</f>
        <v>SUECIAJAPÓN</v>
      </c>
      <c r="AS25" s="148" t="str">
        <f>IF(I24&gt;K24,F24,IF(K24&gt;I24,N24,""))</f>
        <v/>
      </c>
      <c r="AT25" s="149">
        <f>K24</f>
        <v>1</v>
      </c>
      <c r="AU25" s="149">
        <f>I24</f>
        <v>1</v>
      </c>
      <c r="AV25" s="149">
        <f>AT25-AU25</f>
        <v>0</v>
      </c>
      <c r="AW25" s="225">
        <f>RANK(AY25,$AY$10:$AY$29,0)</f>
        <v>4</v>
      </c>
      <c r="AX25" s="226">
        <f>IF(AND($AO$6&gt;0,$AP$6&gt;0),AN25*10000+AZ25,AO25)</f>
        <v>0</v>
      </c>
      <c r="AY25" s="226">
        <f>IF(AND($AO$6&gt;0,$AP$6&gt;0),AN25*10000+AZ25-3,AO25)</f>
        <v>0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4</v>
      </c>
      <c r="BB25" s="225">
        <f>AX25+BD25</f>
        <v>0</v>
      </c>
      <c r="BC25" s="226">
        <f>AX25+BD25</f>
        <v>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0</v>
      </c>
      <c r="BF25" s="225">
        <f>RANK(BE25,$BE$10:$BE$29)</f>
        <v>4</v>
      </c>
      <c r="BG25" s="279">
        <f>BE25</f>
        <v>0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58</v>
      </c>
      <c r="B28" s="196">
        <v>58</v>
      </c>
      <c r="C28" s="195">
        <f>VLOOKUP(A28,tDatos[],IF(UTCElegido="",3,12),0)</f>
        <v>46198</v>
      </c>
      <c r="D28" s="197">
        <f>VLOOKUP(A28,tDatos[],IF(UTCElegido="",4,12),0)</f>
        <v>0.79166666666666663</v>
      </c>
      <c r="E28" s="18"/>
      <c r="F28" s="198" t="str">
        <f>VLOOKUP(A28,tDatos[],5,0)</f>
        <v>TÚNEZ</v>
      </c>
      <c r="G28" s="192" t="str">
        <f>IF(AND(I28&lt;&gt;"",K28&lt;&gt;""),IF(I28=K28,"E",IF(I28&gt;K28,"G","P")),"")</f>
        <v>P</v>
      </c>
      <c r="H28" s="20"/>
      <c r="I28" s="280">
        <f>IF(Ingreso!G351="","",Ingreso!G351)</f>
        <v>1</v>
      </c>
      <c r="J28" s="237" t="s">
        <v>0</v>
      </c>
      <c r="K28" s="280">
        <f>IF(Ingreso!J351="","",Ingreso!J351)</f>
        <v>3</v>
      </c>
      <c r="L28" s="192" t="str">
        <f>IF(AND(K28&lt;&gt;"",I28&lt;&gt;""),IF(K28=I28,"E",IF(K28&gt;I28,"G","P")),"")</f>
        <v>G</v>
      </c>
      <c r="M28" s="19"/>
      <c r="N28" s="193" t="str">
        <f>VLOOKUP(A28,tDatos[],6,0)</f>
        <v>PAÍSES BAJOS</v>
      </c>
      <c r="O28" s="18"/>
      <c r="P28" s="218" t="str">
        <f>VLOOKUP(A28,tDatos[],9,0)</f>
        <v>Kansas City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TÚNEZPAÍSES BAJOS</v>
      </c>
      <c r="AS28" s="148" t="str">
        <f>IF(I28&gt;K28,F28,IF(K28&gt;I28,N28,""))</f>
        <v>PAÍSES BAJOS</v>
      </c>
      <c r="AT28" s="149">
        <f>I28</f>
        <v>1</v>
      </c>
      <c r="AU28" s="149">
        <f>K28</f>
        <v>3</v>
      </c>
      <c r="AV28" s="149">
        <f>AT28-AU28</f>
        <v>-2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PAÍSES BAJOSTÚNEZ</v>
      </c>
      <c r="AS29" s="148" t="str">
        <f>IF(I28&gt;K28,F28,IF(K28&gt;I28,N28,""))</f>
        <v>PAÍSES BAJOS</v>
      </c>
      <c r="AT29" s="149">
        <f>K28</f>
        <v>3</v>
      </c>
      <c r="AU29" s="149">
        <f>I28</f>
        <v>1</v>
      </c>
      <c r="AV29" s="149">
        <f>AT29-AU29</f>
        <v>2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PAÍSES BAJOS</v>
      </c>
      <c r="I32" t="str">
        <f>G8</f>
        <v>E</v>
      </c>
      <c r="J32" t="str">
        <f>G16</f>
        <v>G</v>
      </c>
      <c r="K32" t="str">
        <f>L28</f>
        <v>G</v>
      </c>
    </row>
    <row r="33" spans="6:21" hidden="1" x14ac:dyDescent="0.25">
      <c r="F33" t="str">
        <f>N8</f>
        <v>JAPÓN</v>
      </c>
      <c r="I33" t="str">
        <f>L8</f>
        <v>E</v>
      </c>
      <c r="J33" t="str">
        <f>L20</f>
        <v>G</v>
      </c>
      <c r="K33" t="str">
        <f>G24</f>
        <v>E</v>
      </c>
    </row>
    <row r="34" spans="6:21" hidden="1" x14ac:dyDescent="0.25">
      <c r="F34" t="str">
        <f>F12</f>
        <v>SUECIA</v>
      </c>
      <c r="I34" t="str">
        <f>G12</f>
        <v>G</v>
      </c>
      <c r="J34" t="str">
        <f>L16</f>
        <v>P</v>
      </c>
      <c r="K34" t="str">
        <f>L24</f>
        <v>E</v>
      </c>
    </row>
    <row r="35" spans="6:21" hidden="1" x14ac:dyDescent="0.25">
      <c r="F35" t="str">
        <f>N12</f>
        <v>TÚNEZ</v>
      </c>
      <c r="I35" t="str">
        <f>L12</f>
        <v>P</v>
      </c>
      <c r="J35" t="str">
        <f>G20</f>
        <v>P</v>
      </c>
      <c r="K35" t="str">
        <f>G28</f>
        <v>P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703BA4F3-1A1D-4692-9F9D-0EC5D26B3799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3138-1FEB-4F6F-98C8-85B134CC1113}">
  <sheetPr codeName="Hoja18"/>
  <dimension ref="A1:BH38"/>
  <sheetViews>
    <sheetView showGridLines="0" showRowColHeaders="0" zoomScaleNormal="100" workbookViewId="0">
      <selection activeCell="I8" sqref="I8:I9"/>
    </sheetView>
  </sheetViews>
  <sheetFormatPr baseColWidth="10" defaultColWidth="12.7109375" defaultRowHeight="15" x14ac:dyDescent="0.25"/>
  <cols>
    <col min="1" max="1" width="5.7109375" customWidth="1"/>
    <col min="2" max="2" width="3.7109375" customWidth="1"/>
    <col min="3" max="3" width="7.7109375" customWidth="1"/>
    <col min="4" max="4" width="6.7109375" customWidth="1"/>
    <col min="5" max="5" width="0.85546875" customWidth="1"/>
    <col min="6" max="6" width="21.7109375" customWidth="1"/>
    <col min="7" max="7" width="0.85546875" hidden="1" customWidth="1"/>
    <col min="8" max="8" width="0.85546875" customWidth="1"/>
    <col min="9" max="9" width="6.7109375" customWidth="1"/>
    <col min="10" max="10" width="2.7109375" customWidth="1"/>
    <col min="11" max="11" width="6.7109375" customWidth="1"/>
    <col min="12" max="12" width="0.85546875" hidden="1" customWidth="1"/>
    <col min="13" max="13" width="0.85546875" customWidth="1"/>
    <col min="14" max="14" width="21.7109375" customWidth="1"/>
    <col min="15" max="15" width="0.85546875" customWidth="1"/>
    <col min="16" max="16" width="14.7109375" customWidth="1"/>
    <col min="17" max="17" width="2.7109375" customWidth="1"/>
    <col min="18" max="18" width="16.7109375" customWidth="1"/>
    <col min="19" max="19" width="0.85546875" customWidth="1"/>
    <col min="20" max="20" width="4.7109375" customWidth="1"/>
    <col min="21" max="21" width="0.85546875" customWidth="1"/>
    <col min="22" max="28" width="3.85546875" customWidth="1"/>
    <col min="29" max="29" width="6.42578125" bestFit="1" customWidth="1"/>
    <col min="30" max="31" width="2" hidden="1" customWidth="1"/>
    <col min="32" max="32" width="16.7109375" hidden="1" customWidth="1"/>
    <col min="33" max="40" width="3.7109375" hidden="1" customWidth="1"/>
    <col min="41" max="41" width="5" hidden="1" customWidth="1"/>
    <col min="42" max="42" width="6" hidden="1" customWidth="1"/>
    <col min="43" max="43" width="15.7109375" hidden="1" customWidth="1"/>
    <col min="44" max="44" width="20.85546875" hidden="1" customWidth="1"/>
    <col min="45" max="45" width="14.140625" hidden="1" customWidth="1"/>
    <col min="46" max="48" width="4.7109375" hidden="1" customWidth="1"/>
    <col min="49" max="49" width="5.5703125" hidden="1" customWidth="1"/>
    <col min="50" max="51" width="6.5703125" hidden="1" customWidth="1"/>
    <col min="52" max="56" width="2" hidden="1" customWidth="1"/>
    <col min="57" max="57" width="4.5703125" hidden="1" customWidth="1"/>
    <col min="58" max="58" width="2" hidden="1" customWidth="1"/>
    <col min="59" max="59" width="4.5703125" hidden="1" customWidth="1"/>
    <col min="60" max="60" width="5.5703125" hidden="1" customWidth="1"/>
  </cols>
  <sheetData>
    <row r="1" spans="1:60" ht="25.5" customHeight="1" x14ac:dyDescent="0.25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62"/>
      <c r="U1" s="262"/>
      <c r="V1" s="262"/>
      <c r="W1" s="262"/>
      <c r="X1" s="262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0" ht="35.25" customHeight="1" x14ac:dyDescent="0.25">
      <c r="D2" s="6"/>
      <c r="E2" s="6"/>
      <c r="G2" s="6"/>
      <c r="H2" s="7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0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60" ht="15" customHeight="1" x14ac:dyDescent="0.25">
      <c r="R4" s="4"/>
      <c r="S4" s="4"/>
      <c r="T4" s="4"/>
      <c r="U4" s="4"/>
      <c r="W4" s="4"/>
      <c r="X4" s="4"/>
      <c r="AR4" s="4"/>
      <c r="AS4" s="4"/>
      <c r="AT4" s="4"/>
    </row>
    <row r="5" spans="1:60" ht="18" customHeight="1" x14ac:dyDescent="0.25">
      <c r="B5" s="25" t="s">
        <v>61</v>
      </c>
      <c r="AR5" s="4"/>
      <c r="AS5" s="4"/>
      <c r="AT5" s="4"/>
    </row>
    <row r="6" spans="1:60" ht="18" customHeight="1" x14ac:dyDescent="0.3">
      <c r="B6" s="35" t="s">
        <v>81</v>
      </c>
      <c r="C6" s="36" t="s">
        <v>27</v>
      </c>
      <c r="D6" s="36" t="s">
        <v>28</v>
      </c>
      <c r="E6" s="189" t="s">
        <v>1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37" t="s">
        <v>63</v>
      </c>
      <c r="Q6" s="1"/>
      <c r="R6" s="256" t="s">
        <v>2</v>
      </c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O6" s="146">
        <f>COUNT(I8,K8,I12,K12,I16,K16,I20,K20,I24,K24,I28,K28)</f>
        <v>12</v>
      </c>
      <c r="AP6" s="147">
        <f>(AN10=AN15)+(AN15=AN20)+(AN20=AN25)+(AN10=AN20)+(AN15=AN25)+(AN10=AN25)</f>
        <v>1</v>
      </c>
      <c r="AR6" s="153" t="s">
        <v>388</v>
      </c>
      <c r="AS6" s="153" t="s">
        <v>389</v>
      </c>
      <c r="AT6" s="153">
        <v>1</v>
      </c>
      <c r="AU6" s="153">
        <v>2</v>
      </c>
      <c r="AV6" s="153" t="s">
        <v>9</v>
      </c>
      <c r="AW6" s="145"/>
      <c r="AX6" s="147">
        <f>(AX10=AX15)+(AX15=AX20)+(AX20=AX25)+(AX10=AX20)+(AX15=AX25)+(AX10=AX25)</f>
        <v>1</v>
      </c>
      <c r="AY6" s="147"/>
      <c r="BB6" s="147">
        <f>(BB10=BB15)+(BB15=BB20)+(BB20=BB25)+(BB10=BB20)+(BB15=BB25)+(BB10=BB25)</f>
        <v>1</v>
      </c>
      <c r="BC6" s="147"/>
      <c r="BE6" s="4"/>
      <c r="BF6" s="4"/>
    </row>
    <row r="7" spans="1:60" ht="3.95" customHeight="1" x14ac:dyDescent="0.25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5"/>
      <c r="AC7" s="259" t="s">
        <v>270</v>
      </c>
      <c r="AO7" s="8"/>
      <c r="AP7" s="8"/>
      <c r="BD7" s="4"/>
      <c r="BE7" s="4"/>
      <c r="BF7" s="4"/>
    </row>
    <row r="8" spans="1:60" ht="7.5" customHeight="1" x14ac:dyDescent="0.25">
      <c r="A8" s="229">
        <v>14</v>
      </c>
      <c r="B8" s="196">
        <v>16</v>
      </c>
      <c r="C8" s="195">
        <f>VLOOKUP(A8,tDatos[],IF(UTCElegido="",3,12),0)</f>
        <v>46188</v>
      </c>
      <c r="D8" s="197">
        <f>VLOOKUP(A8,tDatos[],IF(UTCElegido="",4,12),0)</f>
        <v>0.625</v>
      </c>
      <c r="E8" s="18"/>
      <c r="F8" s="198" t="str">
        <f>VLOOKUP(A8,tDatos[],5,0)</f>
        <v>BÉLGICA</v>
      </c>
      <c r="G8" s="192" t="str">
        <f>IF(AND(I8&lt;&gt;"",K8&lt;&gt;""),IF(I8=K8,"E",IF(I8&gt;K8,"G","P")),"")</f>
        <v>E</v>
      </c>
      <c r="H8" s="20"/>
      <c r="I8" s="280">
        <f>IF(Ingreso!G87="","",Ingreso!G87)</f>
        <v>1</v>
      </c>
      <c r="J8" s="237" t="s">
        <v>0</v>
      </c>
      <c r="K8" s="280">
        <f>IF(Ingreso!J87="","",Ingreso!J87)</f>
        <v>1</v>
      </c>
      <c r="L8" s="192" t="str">
        <f>IF(AND(K8&lt;&gt;"",I8&lt;&gt;""),IF(K8=I8,"E",IF(K8&gt;I8,"G","P")),"")</f>
        <v>E</v>
      </c>
      <c r="M8" s="19"/>
      <c r="N8" s="193" t="str">
        <f>VLOOKUP(A8,tDatos[],6,0)</f>
        <v>EGIPTO</v>
      </c>
      <c r="O8" s="18"/>
      <c r="P8" s="218" t="str">
        <f>VLOOKUP(A8,tDatos[],9,0)</f>
        <v>Seattle</v>
      </c>
      <c r="R8" s="263"/>
      <c r="S8" s="263"/>
      <c r="T8" s="263"/>
      <c r="U8" s="263"/>
      <c r="V8" s="264" t="s">
        <v>272</v>
      </c>
      <c r="W8" s="261" t="s">
        <v>4</v>
      </c>
      <c r="X8" s="261" t="s">
        <v>5</v>
      </c>
      <c r="Y8" s="261" t="s">
        <v>6</v>
      </c>
      <c r="Z8" s="261" t="s">
        <v>7</v>
      </c>
      <c r="AA8" s="261" t="s">
        <v>8</v>
      </c>
      <c r="AB8" s="261" t="s">
        <v>271</v>
      </c>
      <c r="AC8" s="259"/>
      <c r="AD8" s="258"/>
      <c r="AE8" s="142"/>
      <c r="AF8" s="1"/>
      <c r="AG8" s="264" t="s">
        <v>272</v>
      </c>
      <c r="AH8" s="261" t="s">
        <v>4</v>
      </c>
      <c r="AI8" s="261" t="s">
        <v>5</v>
      </c>
      <c r="AJ8" s="261" t="s">
        <v>6</v>
      </c>
      <c r="AK8" s="260" t="s">
        <v>7</v>
      </c>
      <c r="AL8" s="260" t="s">
        <v>8</v>
      </c>
      <c r="AM8" s="260" t="s">
        <v>9</v>
      </c>
      <c r="AN8" s="259" t="s">
        <v>3</v>
      </c>
      <c r="AO8" s="224"/>
      <c r="AP8" s="224"/>
      <c r="AQ8" s="224"/>
      <c r="AR8" s="148" t="str">
        <f>F8&amp;N8</f>
        <v>BÉLGICAEGIPTO</v>
      </c>
      <c r="AS8" s="148" t="str">
        <f>IF(I8&gt;K8,F8,IF(K8&gt;I8,N8,""))</f>
        <v/>
      </c>
      <c r="AT8" s="149">
        <f>I8</f>
        <v>1</v>
      </c>
      <c r="AU8" s="149">
        <f>K8</f>
        <v>1</v>
      </c>
      <c r="AV8" s="149">
        <f>AT8-AU8</f>
        <v>0</v>
      </c>
      <c r="AW8" s="149"/>
      <c r="AX8" s="144"/>
      <c r="AY8" s="144"/>
      <c r="BD8" s="4"/>
      <c r="BE8" s="4"/>
      <c r="BF8" s="4"/>
    </row>
    <row r="9" spans="1:60" ht="7.5" customHeight="1" x14ac:dyDescent="0.25">
      <c r="A9" s="229"/>
      <c r="B9" s="196"/>
      <c r="C9" s="196"/>
      <c r="D9" s="196"/>
      <c r="E9" s="18"/>
      <c r="F9" s="198"/>
      <c r="G9" s="192"/>
      <c r="H9" s="20"/>
      <c r="I9" s="281"/>
      <c r="J9" s="237"/>
      <c r="K9" s="281"/>
      <c r="L9" s="192"/>
      <c r="M9" s="19"/>
      <c r="N9" s="193"/>
      <c r="O9" s="18"/>
      <c r="P9" s="218"/>
      <c r="R9" s="263"/>
      <c r="S9" s="263"/>
      <c r="T9" s="263"/>
      <c r="U9" s="263"/>
      <c r="V9" s="264"/>
      <c r="W9" s="261"/>
      <c r="X9" s="261"/>
      <c r="Y9" s="261"/>
      <c r="Z9" s="261"/>
      <c r="AA9" s="261"/>
      <c r="AB9" s="261"/>
      <c r="AC9" s="278"/>
      <c r="AD9" s="258"/>
      <c r="AE9" s="142"/>
      <c r="AF9" s="1"/>
      <c r="AG9" s="264"/>
      <c r="AH9" s="261"/>
      <c r="AI9" s="261"/>
      <c r="AJ9" s="261"/>
      <c r="AK9" s="260"/>
      <c r="AL9" s="260"/>
      <c r="AM9" s="260"/>
      <c r="AN9" s="259"/>
      <c r="AO9" s="224"/>
      <c r="AP9" s="224"/>
      <c r="AQ9" s="224"/>
      <c r="AR9" s="148" t="str">
        <f>N8&amp;F8</f>
        <v>EGIPTOBÉLGICA</v>
      </c>
      <c r="AS9" s="148" t="str">
        <f>IF(I8&gt;K8,F8,IF(K8&gt;I8,N8,""))</f>
        <v/>
      </c>
      <c r="AT9" s="149">
        <f>K8</f>
        <v>1</v>
      </c>
      <c r="AU9" s="149">
        <f>I8</f>
        <v>1</v>
      </c>
      <c r="AV9" s="149">
        <f>AT9-AU9</f>
        <v>0</v>
      </c>
      <c r="AW9" s="149"/>
      <c r="AX9" s="150"/>
      <c r="AY9" s="144"/>
      <c r="BD9" s="4"/>
      <c r="BE9" s="4"/>
      <c r="BF9" s="4"/>
    </row>
    <row r="10" spans="1:60" ht="7.5" customHeight="1" x14ac:dyDescent="0.25">
      <c r="A10" s="229"/>
      <c r="B10" s="194"/>
      <c r="C10" s="230"/>
      <c r="D10" s="231"/>
      <c r="E10" s="18"/>
      <c r="F10" s="232"/>
      <c r="G10" s="18"/>
      <c r="H10" s="18"/>
      <c r="I10" s="192"/>
      <c r="J10" s="192"/>
      <c r="K10" s="192"/>
      <c r="L10" s="18"/>
      <c r="M10" s="18"/>
      <c r="N10" s="232"/>
      <c r="O10" s="18"/>
      <c r="P10" s="236"/>
      <c r="R10" s="265" t="str">
        <f>"  1)  " &amp; VLOOKUP(1,$AE$10:$AF$29,2,0)</f>
        <v xml:space="preserve">  1)  BÉLGICA</v>
      </c>
      <c r="S10" s="266"/>
      <c r="T10" s="266"/>
      <c r="U10" s="267"/>
      <c r="V10" s="274">
        <f>VLOOKUP(1,$AE$10:$AG$29,3,0)</f>
        <v>3</v>
      </c>
      <c r="W10" s="246">
        <f>VLOOKUP(1,$AE$10:$AH$29,4,0)</f>
        <v>1</v>
      </c>
      <c r="X10" s="246">
        <f>VLOOKUP(1,$AE$10:$AI$29,5,0)</f>
        <v>2</v>
      </c>
      <c r="Y10" s="246">
        <f>VLOOKUP(1,$AE$10:$AJ$29,6,0)</f>
        <v>0</v>
      </c>
      <c r="Z10" s="246">
        <f>VLOOKUP(1,$AE$10:$AK$29,7,0)</f>
        <v>6</v>
      </c>
      <c r="AA10" s="246">
        <f>VLOOKUP(1,$AE$10:$AL$29,8,0)</f>
        <v>2</v>
      </c>
      <c r="AB10" s="246">
        <f>Z10-AA10</f>
        <v>4</v>
      </c>
      <c r="AC10" s="275">
        <f>(W10*3)+X10</f>
        <v>5</v>
      </c>
      <c r="AD10" s="223">
        <f>RANK(AO10,$AO$10:$AO$29,0)</f>
        <v>1</v>
      </c>
      <c r="AE10" s="223">
        <f>RANK(AP10,$AP$10:$AP$29,1)</f>
        <v>1</v>
      </c>
      <c r="AF10" s="223" t="str">
        <f>F8</f>
        <v>BÉLGICA</v>
      </c>
      <c r="AG10" s="249">
        <f>3-COUNTIF(I32:K32,"")</f>
        <v>3</v>
      </c>
      <c r="AH10" s="223">
        <f>COUNTIF(I32:K32,"G")</f>
        <v>1</v>
      </c>
      <c r="AI10" s="223">
        <f>COUNTIF(I32:K32,"E")</f>
        <v>2</v>
      </c>
      <c r="AJ10" s="223">
        <f>COUNTIF(I32:K32,"P")</f>
        <v>0</v>
      </c>
      <c r="AK10" s="223">
        <f>SUM(I8,I16,K28)</f>
        <v>6</v>
      </c>
      <c r="AL10" s="223">
        <f>SUM(K8,K16,I28)</f>
        <v>2</v>
      </c>
      <c r="AM10" s="223">
        <f>AK10-AL10</f>
        <v>4</v>
      </c>
      <c r="AN10" s="223">
        <f>(AH10*3)+AI10*vcp</f>
        <v>5</v>
      </c>
      <c r="AO10" s="223">
        <f>IF($AO$6&gt;0,AN10*10+3)</f>
        <v>53</v>
      </c>
      <c r="AP10" s="223">
        <f>IF(AF10=$R$38,BF10-100,IF(AF10=$R$37,BF10-200,IF(AF10=$R$36,BF10-300,BF10)))</f>
        <v>1</v>
      </c>
      <c r="AQ10" s="223" t="str">
        <f>IF(R36="",IF(SUM($V$10:$V$29)&gt;0,VLOOKUP(1,$AE$10:$AF$29,2,0),""),R36)</f>
        <v>BÉLGICA</v>
      </c>
      <c r="AR10" s="151"/>
      <c r="AS10" s="148"/>
      <c r="AT10" s="148"/>
      <c r="AU10" s="148"/>
      <c r="AV10" s="152"/>
      <c r="AW10" s="225">
        <f>RANK(AY10,$AY$10:$AY$29,0)</f>
        <v>1</v>
      </c>
      <c r="AX10" s="226">
        <f>IF(AND($AO$6&gt;0,$AP$6&gt;0),AN10*10000+AZ10,AO10)</f>
        <v>50000</v>
      </c>
      <c r="AY10" s="226">
        <f>IF(AND($AO$6&gt;0,$AP$6&gt;0),AN10*10000+AZ10,AO10)</f>
        <v>50000</v>
      </c>
      <c r="AZ10" s="226">
        <f>--IF(AND($AO$6&gt;0,$AP$6&gt;0),
_xlfn.IFNA(IF(AN10=VLOOKUP(1,$AD$10:$AN$29,11,0),IF(VLOOKUP(AF10&amp;VLOOKUP(1,$AD$10:$AN$29,3,0),$AR$8:$AS$29,2,0)=AF10,1000)),0)+
_xlfn.IFNA(IF(AN10=VLOOKUP(2,$AD$10:$AN$29,11,0),IF(VLOOKUP(AF10&amp;VLOOKUP(2,$AD$10:$AN$29,3,0),$AR$8:$AS$29,2,0)=AF10,1000)),0)+
_xlfn.IFNA(IF(AN10=VLOOKUP(3,$AD$10:$AN$29,11,0),IF(VLOOKUP(AF10&amp;VLOOKUP(3,$AD$10:$AN$29,3,0),$AR$8:$AS$29,2,0)=AF10,1000)),0)+
_xlfn.IFNA(IF(AN10=VLOOKUP(4,$AD$10:$AN$29,11,0),IF(VLOOKUP(AF10&amp;VLOOKUP(4,$AD$10:$AN$29,3,0),$AR$8:$AS$29,2,0)=AF10,1000)),0))</f>
        <v>0</v>
      </c>
      <c r="BA10" s="225">
        <f>RANK(BB10,$BB$10:$BB$29,0)</f>
        <v>1</v>
      </c>
      <c r="BB10" s="225">
        <f>AX10+BD10</f>
        <v>50000</v>
      </c>
      <c r="BC10" s="226">
        <f>AX10+BD10+3</f>
        <v>50003</v>
      </c>
      <c r="BD10" s="225">
        <f>--IF(AND($AO$6&gt;0,$AX$6&gt;0),
_xlfn.IFNA(IF(AX10=VLOOKUP(1,$AW$10:$AX$29,2,0),IF(VLOOKUP(AF10&amp;VLOOKUP(1,$AD$10:$AX$29,3,0),$AR$8:$AV$29,2,0)=AF10,VLOOKUP(AF10&amp;VLOOKUP(1,$AD$10:$AX$29,3,0),$AR$8:$AV$29,5,0)*100+VLOOKUP(AF10&amp;VLOOKUP(1,$AD$10:$AX$29,3,0),$AR$8:$AV$29,3,0)*10)),0)+
_xlfn.IFNA(IF(AX10=VLOOKUP(2,$AW$10:$AX$29,2,0),IF(VLOOKUP(AF10&amp;VLOOKUP(2,$AD$10:$AX$29,3,0),$AR$8:$AV$29,2,0)=AF10,VLOOKUP(AF10&amp;VLOOKUP(2,$AD$10:$AX$29,3,0),$AR$8:$AV$29,5,0)*100+VLOOKUP(AF10&amp;VLOOKUP(2,$AD$10:$AX$29,3,0),$AR$8:$AV$29,3,0)*10)),0)+
_xlfn.IFNA(IF(AX10=VLOOKUP(3,$AW$10:$AX$29,2,0),IF(VLOOKUP(AF10&amp;VLOOKUP(3,$AD$10:$AX$29,3,0),$AR$8:$AV$29,2,0)=AF10,VLOOKUP(AF10&amp;VLOOKUP(3,$AD$10:$AX$29,3,0),$AR$8:$AV$29,5,0)*100+VLOOKUP(AF10&amp;VLOOKUP(3,$AD$10:$AX$29,3,0),$AR$8:$AV$29,3,0)*10)),0)+
_xlfn.IFNA(IF(AX10=VLOOKUP(4,$AW$10:$AX$29,2,0),IF(VLOOKUP(AF10&amp;VLOOKUP(4,$AD$10:$AX$29,3,0),$AR$8:$AV$29,2,0)=AF10,VLOOKUP(AF10&amp;VLOOKUP(4,$AD$10:$AX$29,3,0),$AR$8:$AV$29,5,0)*100+VLOOKUP(AF10&amp;VLOOKUP(4,$AD$10:$AX$29,3,0),$AR$8:$AV$29,3,0)*10)),0))</f>
        <v>0</v>
      </c>
      <c r="BE10" s="279">
        <f>(IF(AND($AO$6&gt;0,$BB$6&gt;0),AN10*1000+AM10*100+AK10*10,0)+3)/100+BB10</f>
        <v>50054.63</v>
      </c>
      <c r="BF10" s="225">
        <f>RANK(BE10,$BE$10:$BE$29)</f>
        <v>1</v>
      </c>
      <c r="BG10" s="279">
        <f>BE10-0.03</f>
        <v>50054.6</v>
      </c>
      <c r="BH10" s="279">
        <f>COUNTIF($BG$10:$BG$29,BG10)</f>
        <v>1</v>
      </c>
    </row>
    <row r="11" spans="1:60" ht="7.5" customHeight="1" x14ac:dyDescent="0.25">
      <c r="A11" s="229"/>
      <c r="B11" s="194"/>
      <c r="C11" s="230"/>
      <c r="D11" s="231"/>
      <c r="E11" s="18"/>
      <c r="F11" s="232"/>
      <c r="G11" s="18"/>
      <c r="H11" s="18"/>
      <c r="I11" s="192"/>
      <c r="J11" s="192"/>
      <c r="K11" s="192"/>
      <c r="L11" s="18"/>
      <c r="M11" s="18"/>
      <c r="N11" s="232"/>
      <c r="O11" s="18"/>
      <c r="P11" s="236"/>
      <c r="R11" s="268"/>
      <c r="S11" s="269"/>
      <c r="T11" s="269"/>
      <c r="U11" s="270"/>
      <c r="V11" s="274"/>
      <c r="W11" s="246"/>
      <c r="X11" s="246"/>
      <c r="Y11" s="246"/>
      <c r="Z11" s="246"/>
      <c r="AA11" s="246"/>
      <c r="AB11" s="246"/>
      <c r="AC11" s="276"/>
      <c r="AD11" s="223"/>
      <c r="AE11" s="223"/>
      <c r="AF11" s="223"/>
      <c r="AG11" s="250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151"/>
      <c r="AS11" s="148"/>
      <c r="AT11" s="148"/>
      <c r="AU11" s="148"/>
      <c r="AV11" s="152"/>
      <c r="AW11" s="225"/>
      <c r="AX11" s="227"/>
      <c r="AY11" s="227"/>
      <c r="AZ11" s="227"/>
      <c r="BA11" s="225"/>
      <c r="BB11" s="225"/>
      <c r="BC11" s="227"/>
      <c r="BD11" s="225"/>
      <c r="BE11" s="279"/>
      <c r="BF11" s="225"/>
      <c r="BG11" s="225"/>
      <c r="BH11" s="225"/>
    </row>
    <row r="12" spans="1:60" ht="7.5" customHeight="1" x14ac:dyDescent="0.25">
      <c r="A12" s="229">
        <v>16</v>
      </c>
      <c r="B12" s="196">
        <v>15</v>
      </c>
      <c r="C12" s="195">
        <f>VLOOKUP(A12,tDatos[],IF(UTCElegido="",3,12),0)</f>
        <v>46188</v>
      </c>
      <c r="D12" s="197">
        <f>VLOOKUP(A12,tDatos[],IF(UTCElegido="",4,12),0)</f>
        <v>0.875</v>
      </c>
      <c r="E12" s="18"/>
      <c r="F12" s="198" t="str">
        <f>VLOOKUP(A12,tDatos[],5,0)</f>
        <v>IRÁN</v>
      </c>
      <c r="G12" s="192" t="str">
        <f>IF(AND(I12&lt;&gt;"",K12&lt;&gt;""),IF(I12=K12,"E",IF(I12&gt;K12,"G","P")),"")</f>
        <v>E</v>
      </c>
      <c r="H12" s="20"/>
      <c r="I12" s="280">
        <f>IF(Ingreso!G99="","",Ingreso!G99)</f>
        <v>2</v>
      </c>
      <c r="J12" s="237" t="s">
        <v>0</v>
      </c>
      <c r="K12" s="280">
        <f>IF(Ingreso!J99="","",Ingreso!J99)</f>
        <v>2</v>
      </c>
      <c r="L12" s="192" t="str">
        <f>IF(AND(K12&lt;&gt;"",I12&lt;&gt;""),IF(K12=I12,"E",IF(K12&gt;I12,"G","P")),"")</f>
        <v>E</v>
      </c>
      <c r="M12" s="19"/>
      <c r="N12" s="193" t="str">
        <f>VLOOKUP(A12,tDatos[],6,0)</f>
        <v>NUEVA ZELANDA</v>
      </c>
      <c r="O12" s="18"/>
      <c r="P12" s="218" t="str">
        <f>VLOOKUP(A12,tDatos[],9,0)</f>
        <v>Los Angeles</v>
      </c>
      <c r="R12" s="268"/>
      <c r="S12" s="269"/>
      <c r="T12" s="269"/>
      <c r="U12" s="270"/>
      <c r="V12" s="274"/>
      <c r="W12" s="246"/>
      <c r="X12" s="246"/>
      <c r="Y12" s="246"/>
      <c r="Z12" s="246"/>
      <c r="AA12" s="246"/>
      <c r="AB12" s="246"/>
      <c r="AC12" s="276"/>
      <c r="AD12" s="223"/>
      <c r="AE12" s="223"/>
      <c r="AF12" s="223"/>
      <c r="AG12" s="250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148" t="str">
        <f>F12&amp;N12</f>
        <v>IRÁNNUEVA ZELANDA</v>
      </c>
      <c r="AS12" s="148" t="str">
        <f>IF(I12&gt;K12,F12,IF(K12&gt;I12,N12,""))</f>
        <v/>
      </c>
      <c r="AT12" s="149">
        <f>I12</f>
        <v>2</v>
      </c>
      <c r="AU12" s="149">
        <f>K12</f>
        <v>2</v>
      </c>
      <c r="AV12" s="149">
        <f>AT12-AU12</f>
        <v>0</v>
      </c>
      <c r="AW12" s="225"/>
      <c r="AX12" s="227"/>
      <c r="AY12" s="227"/>
      <c r="AZ12" s="227"/>
      <c r="BA12" s="225"/>
      <c r="BB12" s="225"/>
      <c r="BC12" s="227"/>
      <c r="BD12" s="225"/>
      <c r="BE12" s="279"/>
      <c r="BF12" s="225"/>
      <c r="BG12" s="225"/>
      <c r="BH12" s="225"/>
    </row>
    <row r="13" spans="1:60" ht="7.5" customHeight="1" x14ac:dyDescent="0.25">
      <c r="A13" s="229"/>
      <c r="B13" s="196"/>
      <c r="C13" s="196"/>
      <c r="D13" s="196"/>
      <c r="E13" s="18"/>
      <c r="F13" s="198"/>
      <c r="G13" s="192"/>
      <c r="H13" s="20"/>
      <c r="I13" s="281"/>
      <c r="J13" s="237"/>
      <c r="K13" s="281"/>
      <c r="L13" s="192"/>
      <c r="M13" s="19"/>
      <c r="N13" s="193"/>
      <c r="O13" s="18"/>
      <c r="P13" s="218"/>
      <c r="R13" s="268"/>
      <c r="S13" s="269"/>
      <c r="T13" s="269"/>
      <c r="U13" s="270"/>
      <c r="V13" s="274"/>
      <c r="W13" s="246"/>
      <c r="X13" s="246"/>
      <c r="Y13" s="246"/>
      <c r="Z13" s="246"/>
      <c r="AA13" s="246"/>
      <c r="AB13" s="246"/>
      <c r="AC13" s="276"/>
      <c r="AD13" s="223"/>
      <c r="AE13" s="223"/>
      <c r="AF13" s="223"/>
      <c r="AG13" s="250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148" t="str">
        <f>N12&amp;F12</f>
        <v>NUEVA ZELANDAIRÁN</v>
      </c>
      <c r="AS13" s="148" t="str">
        <f>IF(I12&gt;K12,F12,IF(K12&gt;I12,N12,""))</f>
        <v/>
      </c>
      <c r="AT13" s="149">
        <f>K12</f>
        <v>2</v>
      </c>
      <c r="AU13" s="149">
        <f>I12</f>
        <v>2</v>
      </c>
      <c r="AV13" s="149">
        <f>AT13-AU13</f>
        <v>0</v>
      </c>
      <c r="AW13" s="225"/>
      <c r="AX13" s="227"/>
      <c r="AY13" s="227"/>
      <c r="AZ13" s="227"/>
      <c r="BA13" s="225"/>
      <c r="BB13" s="225"/>
      <c r="BC13" s="227"/>
      <c r="BD13" s="225"/>
      <c r="BE13" s="279"/>
      <c r="BF13" s="225"/>
      <c r="BG13" s="225"/>
      <c r="BH13" s="225"/>
    </row>
    <row r="14" spans="1:60" ht="7.5" customHeight="1" x14ac:dyDescent="0.25">
      <c r="A14" s="229"/>
      <c r="B14" s="194"/>
      <c r="C14" s="230"/>
      <c r="D14" s="231"/>
      <c r="E14" s="18"/>
      <c r="F14" s="232"/>
      <c r="G14" s="18"/>
      <c r="H14" s="18"/>
      <c r="I14" s="192"/>
      <c r="J14" s="192"/>
      <c r="K14" s="192"/>
      <c r="L14" s="18"/>
      <c r="M14" s="18"/>
      <c r="N14" s="232"/>
      <c r="O14" s="18"/>
      <c r="P14" s="236"/>
      <c r="R14" s="271"/>
      <c r="S14" s="272"/>
      <c r="T14" s="272"/>
      <c r="U14" s="273"/>
      <c r="V14" s="274"/>
      <c r="W14" s="246"/>
      <c r="X14" s="246"/>
      <c r="Y14" s="246"/>
      <c r="Z14" s="246"/>
      <c r="AA14" s="246"/>
      <c r="AB14" s="246"/>
      <c r="AC14" s="277"/>
      <c r="AD14" s="223"/>
      <c r="AE14" s="223"/>
      <c r="AF14" s="223"/>
      <c r="AG14" s="251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151"/>
      <c r="AS14" s="148"/>
      <c r="AT14" s="148"/>
      <c r="AU14" s="148"/>
      <c r="AV14" s="152"/>
      <c r="AW14" s="225"/>
      <c r="AX14" s="228"/>
      <c r="AY14" s="228"/>
      <c r="AZ14" s="228"/>
      <c r="BA14" s="225"/>
      <c r="BB14" s="225"/>
      <c r="BC14" s="228"/>
      <c r="BD14" s="225"/>
      <c r="BE14" s="279"/>
      <c r="BF14" s="225"/>
      <c r="BG14" s="225"/>
      <c r="BH14" s="225"/>
    </row>
    <row r="15" spans="1:60" ht="7.5" customHeight="1" x14ac:dyDescent="0.25">
      <c r="A15" s="229"/>
      <c r="B15" s="194"/>
      <c r="C15" s="230"/>
      <c r="D15" s="231"/>
      <c r="E15" s="18"/>
      <c r="F15" s="232"/>
      <c r="G15" s="18"/>
      <c r="H15" s="18"/>
      <c r="I15" s="192"/>
      <c r="J15" s="192"/>
      <c r="K15" s="192"/>
      <c r="L15" s="18"/>
      <c r="M15" s="18"/>
      <c r="N15" s="232"/>
      <c r="O15" s="18"/>
      <c r="P15" s="236"/>
      <c r="R15" s="265" t="str">
        <f>"  2)  " &amp; VLOOKUP(2,$AE$10:$AF$29,2,0)</f>
        <v xml:space="preserve">  2)  EGIPTO</v>
      </c>
      <c r="S15" s="266"/>
      <c r="T15" s="266"/>
      <c r="U15" s="267"/>
      <c r="V15" s="274">
        <f>VLOOKUP(2,$AE$10:$AG$29,3,0)</f>
        <v>3</v>
      </c>
      <c r="W15" s="246">
        <f>VLOOKUP(2,$AE$10:$AH$29,4,0)</f>
        <v>1</v>
      </c>
      <c r="X15" s="246">
        <f>VLOOKUP(2,$AE$10:$AI$29,5,0)</f>
        <v>2</v>
      </c>
      <c r="Y15" s="246">
        <f>VLOOKUP(2,$AE$10:$AJ$29,6,0)</f>
        <v>0</v>
      </c>
      <c r="Z15" s="246">
        <f>VLOOKUP(2,$AE$10:$AK$29,7,0)</f>
        <v>5</v>
      </c>
      <c r="AA15" s="246">
        <f>VLOOKUP(2,$AE$10:$AL$29,8,0)</f>
        <v>3</v>
      </c>
      <c r="AB15" s="246">
        <f>Z15-AA15</f>
        <v>2</v>
      </c>
      <c r="AC15" s="275">
        <f>(W15*3)+X15</f>
        <v>5</v>
      </c>
      <c r="AD15" s="223">
        <f>RANK(AO15,$AO$10:$AO$29,0)</f>
        <v>2</v>
      </c>
      <c r="AE15" s="223">
        <f>RANK(AP15,$AP$10:$AP$29,1)</f>
        <v>2</v>
      </c>
      <c r="AF15" s="223" t="str">
        <f>N8</f>
        <v>EGIPTO</v>
      </c>
      <c r="AG15" s="249">
        <f>3-COUNTIF(I33:K33,"")</f>
        <v>3</v>
      </c>
      <c r="AH15" s="223">
        <f>COUNTIF(I33:K33,"G")</f>
        <v>1</v>
      </c>
      <c r="AI15" s="223">
        <f>COUNTIF(I33:K33,"E")</f>
        <v>2</v>
      </c>
      <c r="AJ15" s="223">
        <f>COUNTIF(I33:K33,"P")</f>
        <v>0</v>
      </c>
      <c r="AK15" s="249">
        <f>SUM(K8,K20,I24)</f>
        <v>5</v>
      </c>
      <c r="AL15" s="223">
        <f>SUM(I8,I20,K24)</f>
        <v>3</v>
      </c>
      <c r="AM15" s="223">
        <f>AK15-AL15</f>
        <v>2</v>
      </c>
      <c r="AN15" s="223">
        <f>(AH15*3)+AI15*vcp</f>
        <v>5</v>
      </c>
      <c r="AO15" s="223">
        <f>IF($AO$6&gt;0,AN15*10+2)</f>
        <v>52</v>
      </c>
      <c r="AP15" s="223">
        <f>IF(AF15=$R$38,BF15-100,IF(AF15=$R$37,BF15-200,IF(AF15=$R$36,BF15-300,BF15)))</f>
        <v>2</v>
      </c>
      <c r="AQ15" s="223" t="str">
        <f>IF(R37="",IF(SUM($V$10:$V$29)&gt;0,VLOOKUP(2,$AE$10:$AF$29,2,0),""),R37)</f>
        <v>EGIPTO</v>
      </c>
      <c r="AR15" s="151"/>
      <c r="AS15" s="148"/>
      <c r="AT15" s="148"/>
      <c r="AU15" s="148"/>
      <c r="AV15" s="152"/>
      <c r="AW15" s="225">
        <f>RANK(AY15,$AY$10:$AY$29,0)</f>
        <v>2</v>
      </c>
      <c r="AX15" s="226">
        <f>IF(AND($AO$6&gt;0,$AP$6&gt;0),AN15*10000+AZ15,AO15)</f>
        <v>50000</v>
      </c>
      <c r="AY15" s="226">
        <f>IF(AND($AO$6&gt;0,$AP$6&gt;0),AN15*10000+AZ15-1,AO15)</f>
        <v>49999</v>
      </c>
      <c r="AZ15" s="226">
        <f>--IF(AND($AO$6&gt;0,$AP$6&gt;0),
_xlfn.IFNA(IF(AN15=VLOOKUP(1,$AD$10:$AN$29,11,0),IF(VLOOKUP(AF15&amp;VLOOKUP(1,$AD$10:$AN$29,3,0),$AR$8:$AS$29,2,0)=AF15,1000)),0)+
_xlfn.IFNA(IF(AN15=VLOOKUP(2,$AD$10:$AN$29,11,0),IF(VLOOKUP(AF15&amp;VLOOKUP(2,$AD$10:$AN$29,3,0),$AR$8:$AS$29,2,0)=AF15,1000)),0)+
_xlfn.IFNA(IF(AN15=VLOOKUP(3,$AD$10:$AN$29,11,0),IF(VLOOKUP(AF15&amp;VLOOKUP(3,$AD$10:$AN$29,3,0),$AR$8:$AS$29,2,0)=AF15,1000)),0)+
_xlfn.IFNA(IF(AN15=VLOOKUP(4,$AD$10:$AN$29,11,0),IF(VLOOKUP(AF15&amp;VLOOKUP(4,$AD$10:$AN$29,3,0),$AR$8:$AS$29,2,0)=AF15,1000)),0))</f>
        <v>0</v>
      </c>
      <c r="BA15" s="225">
        <f>RANK(BB15,$BB$10:$BB$29,0)</f>
        <v>1</v>
      </c>
      <c r="BB15" s="225">
        <f>AX15+BD15</f>
        <v>50000</v>
      </c>
      <c r="BC15" s="226">
        <f>AX15+BD15+2</f>
        <v>50002</v>
      </c>
      <c r="BD15" s="225">
        <f>--IF(AND($AO$6&gt;0,$AX$6&gt;0),
_xlfn.IFNA(IF(AX15=VLOOKUP(1,$AW$10:$AX$29,2,0),IF(VLOOKUP(AF15&amp;VLOOKUP(1,$AD$10:$AX$29,3,0),$AR$8:$AV$29,2,0)=AF15,VLOOKUP(AF15&amp;VLOOKUP(1,$AD$10:$AX$29,3,0),$AR$8:$AV$29,5,0)*100+VLOOKUP(AF15&amp;VLOOKUP(1,$AD$10:$AX$29,3,0),$AR$8:$AV$29,3,0)*10)),0)+
_xlfn.IFNA(IF(AX15=VLOOKUP(2,$AW$10:$AX$29,2,0),IF(VLOOKUP(AF15&amp;VLOOKUP(2,$AD$10:$AX$29,3,0),$AR$8:$AV$29,2,0)=AF15,VLOOKUP(AF15&amp;VLOOKUP(2,$AD$10:$AX$29,3,0),$AR$8:$AV$29,5,0)*100+VLOOKUP(AF15&amp;VLOOKUP(2,$AD$10:$AX$29,3,0),$AR$8:$AV$29,3,0)*10)),0)+
_xlfn.IFNA(IF(AX15=VLOOKUP(3,$AW$10:$AX$29,2,0),IF(VLOOKUP(AF15&amp;VLOOKUP(3,$AD$10:$AX$29,3,0),$AR$8:$AV$29,2,0)=AF15,VLOOKUP(AF15&amp;VLOOKUP(3,$AD$10:$AX$29,3,0),$AR$8:$AV$29,5,0)*100+VLOOKUP(AF15&amp;VLOOKUP(3,$AD$10:$AX$29,3,0),$AR$8:$AV$29,3,0)*10)),0)+
_xlfn.IFNA(IF(AX15=VLOOKUP(4,$AW$10:$AX$29,2,0),IF(VLOOKUP(AF15&amp;VLOOKUP(4,$AD$10:$AX$29,3,0),$AR$8:$AV$29,2,0)=AF15,VLOOKUP(AF15&amp;VLOOKUP(4,$AD$10:$AX$29,3,0),$AR$8:$AV$29,5,0)*100+VLOOKUP(AF15&amp;VLOOKUP(4,$AD$10:$AX$29,3,0),$AR$8:$AV$29,3,0)*10)),0))</f>
        <v>0</v>
      </c>
      <c r="BE15" s="279">
        <f>(IF(AND($AO$6&gt;0,$BB$6&gt;0),AN15*1000+AM15*100+AK15*10,0)+2)/100+BB15</f>
        <v>50052.52</v>
      </c>
      <c r="BF15" s="225">
        <f>RANK(BE15,$BE$10:$BE$29)</f>
        <v>2</v>
      </c>
      <c r="BG15" s="279">
        <f>BE15-0.02</f>
        <v>50052.5</v>
      </c>
      <c r="BH15" s="279">
        <f>COUNTIF($BG$10:$BG$29,BG15)</f>
        <v>1</v>
      </c>
    </row>
    <row r="16" spans="1:60" ht="7.5" customHeight="1" x14ac:dyDescent="0.25">
      <c r="A16" s="229">
        <v>38</v>
      </c>
      <c r="B16" s="196">
        <v>39</v>
      </c>
      <c r="C16" s="195">
        <f>VLOOKUP(A16,tDatos[],IF(UTCElegido="",3,12),0)</f>
        <v>46194</v>
      </c>
      <c r="D16" s="197">
        <f>VLOOKUP(A16,tDatos[],IF(UTCElegido="",4,12),0)</f>
        <v>0.625</v>
      </c>
      <c r="E16" s="18"/>
      <c r="F16" s="198" t="str">
        <f>VLOOKUP(A16,tDatos[],5,0)</f>
        <v>BÉLGICA</v>
      </c>
      <c r="G16" s="192" t="str">
        <f>IF(AND(I16&lt;&gt;"",K16&lt;&gt;""),IF(I16=K16,"E",IF(I16&gt;K16,"G","P")),"")</f>
        <v>E</v>
      </c>
      <c r="H16" s="20"/>
      <c r="I16" s="280">
        <f>IF(Ingreso!G231="","",Ingreso!G231)</f>
        <v>0</v>
      </c>
      <c r="J16" s="237" t="s">
        <v>0</v>
      </c>
      <c r="K16" s="280">
        <f>IF(Ingreso!J231="","",Ingreso!J231)</f>
        <v>0</v>
      </c>
      <c r="L16" s="192" t="str">
        <f>IF(AND(K16&lt;&gt;"",I16&lt;&gt;""),IF(K16=I16,"E",IF(K16&gt;I16,"G","P")),"")</f>
        <v>E</v>
      </c>
      <c r="M16" s="19"/>
      <c r="N16" s="193" t="str">
        <f>VLOOKUP(A16,tDatos[],6,0)</f>
        <v>IRÁN</v>
      </c>
      <c r="O16" s="18"/>
      <c r="P16" s="218" t="str">
        <f>VLOOKUP(A16,tDatos[],9,0)</f>
        <v>Los Angeles</v>
      </c>
      <c r="R16" s="268"/>
      <c r="S16" s="269"/>
      <c r="T16" s="269"/>
      <c r="U16" s="270"/>
      <c r="V16" s="274"/>
      <c r="W16" s="246"/>
      <c r="X16" s="246"/>
      <c r="Y16" s="246"/>
      <c r="Z16" s="246"/>
      <c r="AA16" s="246"/>
      <c r="AB16" s="246"/>
      <c r="AC16" s="276"/>
      <c r="AD16" s="223"/>
      <c r="AE16" s="223"/>
      <c r="AF16" s="223"/>
      <c r="AG16" s="250"/>
      <c r="AH16" s="223"/>
      <c r="AI16" s="223"/>
      <c r="AJ16" s="223"/>
      <c r="AK16" s="250"/>
      <c r="AL16" s="223"/>
      <c r="AM16" s="223"/>
      <c r="AN16" s="223"/>
      <c r="AO16" s="223"/>
      <c r="AP16" s="223"/>
      <c r="AQ16" s="223"/>
      <c r="AR16" s="148" t="str">
        <f>F16&amp;N16</f>
        <v>BÉLGICAIRÁN</v>
      </c>
      <c r="AS16" s="148" t="str">
        <f>IF(I16&gt;K16,F16,IF(K16&gt;I16,N16,""))</f>
        <v/>
      </c>
      <c r="AT16" s="149">
        <f>I16</f>
        <v>0</v>
      </c>
      <c r="AU16" s="149">
        <f>K16</f>
        <v>0</v>
      </c>
      <c r="AV16" s="149">
        <f>AT16-AU16</f>
        <v>0</v>
      </c>
      <c r="AW16" s="225"/>
      <c r="AX16" s="227"/>
      <c r="AY16" s="227"/>
      <c r="AZ16" s="227"/>
      <c r="BA16" s="225"/>
      <c r="BB16" s="225"/>
      <c r="BC16" s="227"/>
      <c r="BD16" s="225"/>
      <c r="BE16" s="279"/>
      <c r="BF16" s="225"/>
      <c r="BG16" s="225"/>
      <c r="BH16" s="225"/>
    </row>
    <row r="17" spans="1:60" ht="7.5" customHeight="1" x14ac:dyDescent="0.25">
      <c r="A17" s="229"/>
      <c r="B17" s="196"/>
      <c r="C17" s="196"/>
      <c r="D17" s="196"/>
      <c r="E17" s="18"/>
      <c r="F17" s="198"/>
      <c r="G17" s="192"/>
      <c r="H17" s="20"/>
      <c r="I17" s="281"/>
      <c r="J17" s="237"/>
      <c r="K17" s="281"/>
      <c r="L17" s="192"/>
      <c r="M17" s="19"/>
      <c r="N17" s="193"/>
      <c r="O17" s="18"/>
      <c r="P17" s="218"/>
      <c r="R17" s="268"/>
      <c r="S17" s="269"/>
      <c r="T17" s="269"/>
      <c r="U17" s="270"/>
      <c r="V17" s="274"/>
      <c r="W17" s="246"/>
      <c r="X17" s="246"/>
      <c r="Y17" s="246"/>
      <c r="Z17" s="246"/>
      <c r="AA17" s="246"/>
      <c r="AB17" s="246"/>
      <c r="AC17" s="276"/>
      <c r="AD17" s="223"/>
      <c r="AE17" s="223"/>
      <c r="AF17" s="223"/>
      <c r="AG17" s="250"/>
      <c r="AH17" s="223"/>
      <c r="AI17" s="223"/>
      <c r="AJ17" s="223"/>
      <c r="AK17" s="250"/>
      <c r="AL17" s="223"/>
      <c r="AM17" s="223"/>
      <c r="AN17" s="223"/>
      <c r="AO17" s="223"/>
      <c r="AP17" s="223"/>
      <c r="AQ17" s="223"/>
      <c r="AR17" s="148" t="str">
        <f>N16&amp;F16</f>
        <v>IRÁNBÉLGICA</v>
      </c>
      <c r="AS17" s="148" t="str">
        <f>IF(I16&gt;K16,F16,IF(K16&gt;I16,N16,""))</f>
        <v/>
      </c>
      <c r="AT17" s="149">
        <f>K16</f>
        <v>0</v>
      </c>
      <c r="AU17" s="149">
        <f>I16</f>
        <v>0</v>
      </c>
      <c r="AV17" s="149">
        <f>AT17-AU17</f>
        <v>0</v>
      </c>
      <c r="AW17" s="225"/>
      <c r="AX17" s="227"/>
      <c r="AY17" s="227"/>
      <c r="AZ17" s="227"/>
      <c r="BA17" s="225"/>
      <c r="BB17" s="225"/>
      <c r="BC17" s="227"/>
      <c r="BD17" s="225"/>
      <c r="BE17" s="279"/>
      <c r="BF17" s="225"/>
      <c r="BG17" s="225"/>
      <c r="BH17" s="225"/>
    </row>
    <row r="18" spans="1:60" ht="7.5" customHeight="1" x14ac:dyDescent="0.25">
      <c r="A18" s="229"/>
      <c r="B18" s="194"/>
      <c r="C18" s="230"/>
      <c r="D18" s="231"/>
      <c r="E18" s="18"/>
      <c r="F18" s="232"/>
      <c r="G18" s="18"/>
      <c r="H18" s="18"/>
      <c r="I18" s="192"/>
      <c r="J18" s="192"/>
      <c r="K18" s="192"/>
      <c r="L18" s="18"/>
      <c r="M18" s="18"/>
      <c r="N18" s="232"/>
      <c r="O18" s="18"/>
      <c r="P18" s="236"/>
      <c r="R18" s="268"/>
      <c r="S18" s="269"/>
      <c r="T18" s="269"/>
      <c r="U18" s="270"/>
      <c r="V18" s="274"/>
      <c r="W18" s="246"/>
      <c r="X18" s="246"/>
      <c r="Y18" s="246"/>
      <c r="Z18" s="246"/>
      <c r="AA18" s="246"/>
      <c r="AB18" s="246"/>
      <c r="AC18" s="276"/>
      <c r="AD18" s="223"/>
      <c r="AE18" s="223"/>
      <c r="AF18" s="223"/>
      <c r="AG18" s="250"/>
      <c r="AH18" s="223"/>
      <c r="AI18" s="223"/>
      <c r="AJ18" s="223"/>
      <c r="AK18" s="250"/>
      <c r="AL18" s="223"/>
      <c r="AM18" s="223"/>
      <c r="AN18" s="223"/>
      <c r="AO18" s="223"/>
      <c r="AP18" s="223"/>
      <c r="AQ18" s="223"/>
      <c r="AR18" s="151"/>
      <c r="AS18" s="148"/>
      <c r="AT18" s="148"/>
      <c r="AU18" s="148"/>
      <c r="AV18" s="152"/>
      <c r="AW18" s="225"/>
      <c r="AX18" s="227"/>
      <c r="AY18" s="227"/>
      <c r="AZ18" s="227"/>
      <c r="BA18" s="225"/>
      <c r="BB18" s="225"/>
      <c r="BC18" s="227"/>
      <c r="BD18" s="225"/>
      <c r="BE18" s="279"/>
      <c r="BF18" s="225"/>
      <c r="BG18" s="225"/>
      <c r="BH18" s="225"/>
    </row>
    <row r="19" spans="1:60" ht="7.5" customHeight="1" x14ac:dyDescent="0.25">
      <c r="A19" s="229"/>
      <c r="B19" s="194"/>
      <c r="C19" s="230"/>
      <c r="D19" s="231"/>
      <c r="E19" s="18"/>
      <c r="F19" s="232"/>
      <c r="G19" s="18"/>
      <c r="H19" s="18"/>
      <c r="I19" s="192"/>
      <c r="J19" s="192"/>
      <c r="K19" s="192"/>
      <c r="L19" s="18"/>
      <c r="M19" s="18"/>
      <c r="N19" s="232"/>
      <c r="O19" s="18"/>
      <c r="P19" s="236"/>
      <c r="R19" s="271"/>
      <c r="S19" s="272"/>
      <c r="T19" s="272"/>
      <c r="U19" s="273"/>
      <c r="V19" s="274"/>
      <c r="W19" s="246"/>
      <c r="X19" s="246"/>
      <c r="Y19" s="246"/>
      <c r="Z19" s="246"/>
      <c r="AA19" s="246"/>
      <c r="AB19" s="246"/>
      <c r="AC19" s="277"/>
      <c r="AD19" s="223"/>
      <c r="AE19" s="223"/>
      <c r="AF19" s="223"/>
      <c r="AG19" s="251"/>
      <c r="AH19" s="223"/>
      <c r="AI19" s="223"/>
      <c r="AJ19" s="223"/>
      <c r="AK19" s="251"/>
      <c r="AL19" s="223"/>
      <c r="AM19" s="223"/>
      <c r="AN19" s="223"/>
      <c r="AO19" s="223"/>
      <c r="AP19" s="223"/>
      <c r="AQ19" s="223"/>
      <c r="AR19" s="151"/>
      <c r="AS19" s="148"/>
      <c r="AT19" s="148"/>
      <c r="AU19" s="148"/>
      <c r="AV19" s="152"/>
      <c r="AW19" s="225"/>
      <c r="AX19" s="228"/>
      <c r="AY19" s="228"/>
      <c r="AZ19" s="228"/>
      <c r="BA19" s="225"/>
      <c r="BB19" s="225"/>
      <c r="BC19" s="228"/>
      <c r="BD19" s="225"/>
      <c r="BE19" s="279"/>
      <c r="BF19" s="225"/>
      <c r="BG19" s="225"/>
      <c r="BH19" s="225"/>
    </row>
    <row r="20" spans="1:60" ht="7.5" customHeight="1" x14ac:dyDescent="0.25">
      <c r="A20" s="229">
        <v>40</v>
      </c>
      <c r="B20" s="196">
        <v>40</v>
      </c>
      <c r="C20" s="195">
        <f>VLOOKUP(A20,tDatos[],IF(UTCElegido="",3,12),0)</f>
        <v>46194</v>
      </c>
      <c r="D20" s="197">
        <f>VLOOKUP(A20,tDatos[],IF(UTCElegido="",4,12),0)</f>
        <v>0.875</v>
      </c>
      <c r="E20" s="18"/>
      <c r="F20" s="198" t="str">
        <f>VLOOKUP(A20,tDatos[],5,0)</f>
        <v>NUEVA ZELANDA</v>
      </c>
      <c r="G20" s="192" t="str">
        <f>IF(AND(I20&lt;&gt;"",K20&lt;&gt;""),IF(I20=K20,"E",IF(I20&gt;K20,"G","P")),"")</f>
        <v>P</v>
      </c>
      <c r="H20" s="20"/>
      <c r="I20" s="280">
        <f>IF(Ingreso!G243="","",Ingreso!G243)</f>
        <v>1</v>
      </c>
      <c r="J20" s="237" t="s">
        <v>0</v>
      </c>
      <c r="K20" s="280">
        <f>IF(Ingreso!J243="","",Ingreso!J243)</f>
        <v>3</v>
      </c>
      <c r="L20" s="192" t="str">
        <f>IF(AND(K20&lt;&gt;"",I20&lt;&gt;""),IF(K20=I20,"E",IF(K20&gt;I20,"G","P")),"")</f>
        <v>G</v>
      </c>
      <c r="M20" s="19"/>
      <c r="N20" s="193" t="str">
        <f>VLOOKUP(A20,tDatos[],6,0)</f>
        <v>EGIPTO</v>
      </c>
      <c r="O20" s="18"/>
      <c r="P20" s="218" t="str">
        <f>VLOOKUP(A20,tDatos[],9,0)</f>
        <v>Vancouver</v>
      </c>
      <c r="R20" s="240" t="str">
        <f>"  3)  " &amp; VLOOKUP(3,$AE$10:$AF$29,2,0)</f>
        <v xml:space="preserve">  3)  IRÁN</v>
      </c>
      <c r="S20" s="241"/>
      <c r="T20" s="241"/>
      <c r="U20" s="241"/>
      <c r="V20" s="255">
        <f>VLOOKUP(3,$AE$10:$AG$29,3,0)</f>
        <v>3</v>
      </c>
      <c r="W20" s="248">
        <f>VLOOKUP(3,$AE$10:$AH$29,4,0)</f>
        <v>0</v>
      </c>
      <c r="X20" s="248">
        <f>VLOOKUP(3,$AE$10:$AI$29,5,0)</f>
        <v>3</v>
      </c>
      <c r="Y20" s="248">
        <f>VLOOKUP(3,$AE$10:$AJ$29,6,0)</f>
        <v>0</v>
      </c>
      <c r="Z20" s="248">
        <f>VLOOKUP(3,$AE$10:$AK$29,7,0)</f>
        <v>3</v>
      </c>
      <c r="AA20" s="248">
        <f>VLOOKUP(3,$AE$10:$AL$29,8,0)</f>
        <v>3</v>
      </c>
      <c r="AB20" s="247">
        <f>Z20-AA20</f>
        <v>0</v>
      </c>
      <c r="AC20" s="252">
        <f>(W20*3)+X20</f>
        <v>3</v>
      </c>
      <c r="AD20" s="223">
        <f>RANK(AO20,$AO$10:$AO$29,0)</f>
        <v>3</v>
      </c>
      <c r="AE20" s="223">
        <f>RANK(AP20,$AP$10:$AP$29,1)</f>
        <v>3</v>
      </c>
      <c r="AF20" s="223" t="str">
        <f>F12</f>
        <v>IRÁN</v>
      </c>
      <c r="AG20" s="249">
        <f>3-COUNTIF(I34:K34,"")</f>
        <v>3</v>
      </c>
      <c r="AH20" s="223">
        <f>COUNTIF(I34:K34,"G")</f>
        <v>0</v>
      </c>
      <c r="AI20" s="223">
        <f>COUNTIF(I34:K34,"E")</f>
        <v>3</v>
      </c>
      <c r="AJ20" s="223">
        <f>COUNTIF(I34:K34,"P")</f>
        <v>0</v>
      </c>
      <c r="AK20" s="249">
        <f>SUM(I12,K16,K24)</f>
        <v>3</v>
      </c>
      <c r="AL20" s="249">
        <f>SUM(K12,I16,I24)</f>
        <v>3</v>
      </c>
      <c r="AM20" s="223">
        <f>AK20-AL20</f>
        <v>0</v>
      </c>
      <c r="AN20" s="223">
        <f>(AH20*3)+AI20*vcp</f>
        <v>3</v>
      </c>
      <c r="AO20" s="223">
        <f>IF($AO$6&gt;0,AN20*10+1)</f>
        <v>31</v>
      </c>
      <c r="AP20" s="223">
        <f>IF(AF20=$R$38,BF20-100,IF(AF20=$R$37,BF20-200,IF(AF20=$R$36,BF20-300,BF20)))</f>
        <v>3</v>
      </c>
      <c r="AQ20" s="223" t="str">
        <f>IF(R38="",IF(SUM($V$10:$V$29)&gt;0,VLOOKUP(3,$AE$10:$AF$29,2,0),""),R38)</f>
        <v>IRÁN</v>
      </c>
      <c r="AR20" s="148" t="str">
        <f>F20&amp;N20</f>
        <v>NUEVA ZELANDAEGIPTO</v>
      </c>
      <c r="AS20" s="148" t="str">
        <f>IF(I20&gt;K20,F20,IF(K20&gt;I20,N20,""))</f>
        <v>EGIPTO</v>
      </c>
      <c r="AT20" s="149">
        <f>I20</f>
        <v>1</v>
      </c>
      <c r="AU20" s="149">
        <f>K20</f>
        <v>3</v>
      </c>
      <c r="AV20" s="149">
        <f>AT20-AU20</f>
        <v>-2</v>
      </c>
      <c r="AW20" s="225">
        <f>RANK(AY20,$AY$10:$AY$29,0)</f>
        <v>3</v>
      </c>
      <c r="AX20" s="226">
        <f>IF(AND($AO$6&gt;0,$AP$6&gt;0),AN20*10000+AZ20,AO20)</f>
        <v>30000</v>
      </c>
      <c r="AY20" s="226">
        <f>IF(AND($AO$6&gt;0,$AP$6&gt;0),AN20*10000+AZ20-2,AO20)</f>
        <v>29998</v>
      </c>
      <c r="AZ20" s="226">
        <f>--IF(AND($AO$6&gt;0,$AP$6&gt;0),
_xlfn.IFNA(IF(AN20=VLOOKUP(1,$AD$10:$AN$29,11,0),IF(VLOOKUP(AF20&amp;VLOOKUP(1,$AD$10:$AN$29,3,0),$AR$8:$AS$29,2,0)=AF20,1000)),0)+
_xlfn.IFNA(IF(AN20=VLOOKUP(2,$AD$10:$AN$29,11,0),IF(VLOOKUP(AF20&amp;VLOOKUP(2,$AD$10:$AN$29,3,0),$AR$8:$AS$29,2,0)=AF20,1000)),0)+
_xlfn.IFNA(IF(AN20=VLOOKUP(3,$AD$10:$AN$29,11,0),IF(VLOOKUP(AF20&amp;VLOOKUP(3,$AD$10:$AN$29,3,0),$AR$8:$AS$29,2,0)=AF20,1000)),0)+
_xlfn.IFNA(IF(AN20=VLOOKUP(4,$AD$10:$AN$29,11,0),IF(VLOOKUP(AF20&amp;VLOOKUP(4,$AD$10:$AN$29,3,0),$AR$8:$AS$29,2,0)=AF20,1000)),0))</f>
        <v>0</v>
      </c>
      <c r="BA20" s="225">
        <f>RANK(BB20,$BB$10:$BB$29,0)</f>
        <v>3</v>
      </c>
      <c r="BB20" s="225">
        <f>AX20+BD20</f>
        <v>30000</v>
      </c>
      <c r="BC20" s="226">
        <f>AX20+BD20+1</f>
        <v>30001</v>
      </c>
      <c r="BD20" s="225">
        <f>--IF(AND($AO$6&gt;0,$AX$6&gt;0),
_xlfn.IFNA(IF(AX20=VLOOKUP(1,$AW$10:$AX$29,2,0),IF(VLOOKUP(AF20&amp;VLOOKUP(1,$AD$10:$AX$29,3,0),$AR$8:$AV$29,2,0)=AF20,VLOOKUP(AF20&amp;VLOOKUP(1,$AD$10:$AX$29,3,0),$AR$8:$AV$29,5,0)*100+VLOOKUP(AF20&amp;VLOOKUP(1,$AD$10:$AX$29,3,0),$AR$8:$AV$29,3,0)*10)),0)+
_xlfn.IFNA(IF(AX20=VLOOKUP(2,$AW$10:$AX$29,2,0),IF(VLOOKUP(AF20&amp;VLOOKUP(2,$AD$10:$AX$29,3,0),$AR$8:$AV$29,2,0)=AF20,VLOOKUP(AF20&amp;VLOOKUP(2,$AD$10:$AX$29,3,0),$AR$8:$AV$29,5,0)*100+VLOOKUP(AF20&amp;VLOOKUP(2,$AD$10:$AX$29,3,0),$AR$8:$AV$29,3,0)*10)),0)+
_xlfn.IFNA(IF(AX20=VLOOKUP(3,$AW$10:$AX$29,2,0),IF(VLOOKUP(AF20&amp;VLOOKUP(3,$AD$10:$AX$29,3,0),$AR$8:$AV$29,2,0)=AF20,VLOOKUP(AF20&amp;VLOOKUP(3,$AD$10:$AX$29,3,0),$AR$8:$AV$29,5,0)*100+VLOOKUP(AF20&amp;VLOOKUP(3,$AD$10:$AX$29,3,0),$AR$8:$AV$29,3,0)*10)),0)+
_xlfn.IFNA(IF(AX20=VLOOKUP(4,$AW$10:$AX$29,2,0),IF(VLOOKUP(AF20&amp;VLOOKUP(4,$AD$10:$AX$29,3,0),$AR$8:$AV$29,2,0)=AF20,VLOOKUP(AF20&amp;VLOOKUP(4,$AD$10:$AX$29,3,0),$AR$8:$AV$29,5,0)*100+VLOOKUP(AF20&amp;VLOOKUP(4,$AD$10:$AX$29,3,0),$AR$8:$AV$29,3,0)*10)),0))</f>
        <v>0</v>
      </c>
      <c r="BE20" s="279">
        <f>(IF(AND($AO$6&gt;0,$BB$6&gt;0),AN20*1000+AM20*100+AK20*10,0)+1)/100+BB20</f>
        <v>30030.31</v>
      </c>
      <c r="BF20" s="225">
        <f>RANK(BE20,$BE$10:$BE$29)</f>
        <v>3</v>
      </c>
      <c r="BG20" s="279">
        <f>BE20-0.01</f>
        <v>30030.300000000003</v>
      </c>
      <c r="BH20" s="279">
        <f>COUNTIF($BG$10:$BG$29,BG20)</f>
        <v>1</v>
      </c>
    </row>
    <row r="21" spans="1:60" ht="7.5" customHeight="1" x14ac:dyDescent="0.25">
      <c r="A21" s="229"/>
      <c r="B21" s="196"/>
      <c r="C21" s="196"/>
      <c r="D21" s="196"/>
      <c r="E21" s="18"/>
      <c r="F21" s="198"/>
      <c r="G21" s="192"/>
      <c r="H21" s="20"/>
      <c r="I21" s="281"/>
      <c r="J21" s="237"/>
      <c r="K21" s="281"/>
      <c r="L21" s="192"/>
      <c r="M21" s="19"/>
      <c r="N21" s="193"/>
      <c r="O21" s="18"/>
      <c r="P21" s="218"/>
      <c r="R21" s="242"/>
      <c r="S21" s="243"/>
      <c r="T21" s="243"/>
      <c r="U21" s="243"/>
      <c r="V21" s="255"/>
      <c r="W21" s="248"/>
      <c r="X21" s="248"/>
      <c r="Y21" s="248"/>
      <c r="Z21" s="248"/>
      <c r="AA21" s="248"/>
      <c r="AB21" s="247"/>
      <c r="AC21" s="253"/>
      <c r="AD21" s="223"/>
      <c r="AE21" s="223"/>
      <c r="AF21" s="223"/>
      <c r="AG21" s="250"/>
      <c r="AH21" s="223"/>
      <c r="AI21" s="223"/>
      <c r="AJ21" s="223"/>
      <c r="AK21" s="250"/>
      <c r="AL21" s="250"/>
      <c r="AM21" s="223"/>
      <c r="AN21" s="223"/>
      <c r="AO21" s="223"/>
      <c r="AP21" s="223"/>
      <c r="AQ21" s="223"/>
      <c r="AR21" s="148" t="str">
        <f>N20&amp;F20</f>
        <v>EGIPTONUEVA ZELANDA</v>
      </c>
      <c r="AS21" s="148" t="str">
        <f>IF(I20&gt;K20,F20,IF(K20&gt;I20,N20,""))</f>
        <v>EGIPTO</v>
      </c>
      <c r="AT21" s="149">
        <f>K20</f>
        <v>3</v>
      </c>
      <c r="AU21" s="149">
        <f>I20</f>
        <v>1</v>
      </c>
      <c r="AV21" s="149">
        <f>AT21-AU21</f>
        <v>2</v>
      </c>
      <c r="AW21" s="225"/>
      <c r="AX21" s="227"/>
      <c r="AY21" s="227"/>
      <c r="AZ21" s="227"/>
      <c r="BA21" s="225"/>
      <c r="BB21" s="225"/>
      <c r="BC21" s="227"/>
      <c r="BD21" s="225"/>
      <c r="BE21" s="279"/>
      <c r="BF21" s="225"/>
      <c r="BG21" s="225"/>
      <c r="BH21" s="225"/>
    </row>
    <row r="22" spans="1:60" ht="7.5" customHeight="1" x14ac:dyDescent="0.25">
      <c r="A22" s="229"/>
      <c r="B22" s="194"/>
      <c r="C22" s="230"/>
      <c r="D22" s="231"/>
      <c r="E22" s="18"/>
      <c r="F22" s="232"/>
      <c r="G22" s="18"/>
      <c r="H22" s="18"/>
      <c r="I22" s="192"/>
      <c r="J22" s="192"/>
      <c r="K22" s="192"/>
      <c r="L22" s="18"/>
      <c r="M22" s="18"/>
      <c r="N22" s="232"/>
      <c r="O22" s="18"/>
      <c r="P22" s="236"/>
      <c r="R22" s="242"/>
      <c r="S22" s="243"/>
      <c r="T22" s="243"/>
      <c r="U22" s="243"/>
      <c r="V22" s="255"/>
      <c r="W22" s="248"/>
      <c r="X22" s="248"/>
      <c r="Y22" s="248"/>
      <c r="Z22" s="248"/>
      <c r="AA22" s="248"/>
      <c r="AB22" s="247"/>
      <c r="AC22" s="253"/>
      <c r="AD22" s="223"/>
      <c r="AE22" s="223"/>
      <c r="AF22" s="223"/>
      <c r="AG22" s="250"/>
      <c r="AH22" s="223"/>
      <c r="AI22" s="223"/>
      <c r="AJ22" s="223"/>
      <c r="AK22" s="250"/>
      <c r="AL22" s="250"/>
      <c r="AM22" s="223"/>
      <c r="AN22" s="223"/>
      <c r="AO22" s="223"/>
      <c r="AP22" s="223"/>
      <c r="AQ22" s="223"/>
      <c r="AR22" s="151"/>
      <c r="AS22" s="148"/>
      <c r="AT22" s="148"/>
      <c r="AU22" s="148"/>
      <c r="AV22" s="152"/>
      <c r="AW22" s="225"/>
      <c r="AX22" s="227"/>
      <c r="AY22" s="227"/>
      <c r="AZ22" s="227"/>
      <c r="BA22" s="225"/>
      <c r="BB22" s="225"/>
      <c r="BC22" s="227"/>
      <c r="BD22" s="225"/>
      <c r="BE22" s="279"/>
      <c r="BF22" s="225"/>
      <c r="BG22" s="225"/>
      <c r="BH22" s="225"/>
    </row>
    <row r="23" spans="1:60" ht="7.5" customHeight="1" x14ac:dyDescent="0.25">
      <c r="A23" s="229"/>
      <c r="B23" s="194"/>
      <c r="C23" s="230"/>
      <c r="D23" s="231"/>
      <c r="E23" s="18"/>
      <c r="F23" s="232"/>
      <c r="G23" s="18"/>
      <c r="H23" s="18"/>
      <c r="I23" s="192"/>
      <c r="J23" s="192"/>
      <c r="K23" s="192"/>
      <c r="L23" s="18"/>
      <c r="M23" s="18"/>
      <c r="N23" s="232"/>
      <c r="O23" s="18"/>
      <c r="P23" s="236"/>
      <c r="R23" s="242"/>
      <c r="S23" s="243"/>
      <c r="T23" s="243"/>
      <c r="U23" s="243"/>
      <c r="V23" s="255"/>
      <c r="W23" s="248"/>
      <c r="X23" s="248"/>
      <c r="Y23" s="248"/>
      <c r="Z23" s="248"/>
      <c r="AA23" s="248"/>
      <c r="AB23" s="247"/>
      <c r="AC23" s="253"/>
      <c r="AD23" s="223"/>
      <c r="AE23" s="223"/>
      <c r="AF23" s="223"/>
      <c r="AG23" s="250"/>
      <c r="AH23" s="223"/>
      <c r="AI23" s="223"/>
      <c r="AJ23" s="223"/>
      <c r="AK23" s="250"/>
      <c r="AL23" s="250"/>
      <c r="AM23" s="223"/>
      <c r="AN23" s="223"/>
      <c r="AO23" s="223"/>
      <c r="AP23" s="223"/>
      <c r="AQ23" s="223"/>
      <c r="AR23" s="151"/>
      <c r="AS23" s="148"/>
      <c r="AT23" s="148"/>
      <c r="AU23" s="148"/>
      <c r="AV23" s="152"/>
      <c r="AW23" s="225"/>
      <c r="AX23" s="227"/>
      <c r="AY23" s="227"/>
      <c r="AZ23" s="227"/>
      <c r="BA23" s="225"/>
      <c r="BB23" s="225"/>
      <c r="BC23" s="227"/>
      <c r="BD23" s="225"/>
      <c r="BE23" s="279"/>
      <c r="BF23" s="225"/>
      <c r="BG23" s="225"/>
      <c r="BH23" s="225"/>
    </row>
    <row r="24" spans="1:60" ht="7.5" customHeight="1" x14ac:dyDescent="0.25">
      <c r="A24" s="229">
        <v>65</v>
      </c>
      <c r="B24" s="196">
        <v>63</v>
      </c>
      <c r="C24" s="195">
        <f>VLOOKUP(A24,tDatos[],IF(UTCElegido="",3,12),0)</f>
        <v>46199</v>
      </c>
      <c r="D24" s="197">
        <f>VLOOKUP(A24,tDatos[],IF(UTCElegido="",4,12),0)</f>
        <v>0.95833333333333337</v>
      </c>
      <c r="E24" s="18"/>
      <c r="F24" s="198" t="str">
        <f>VLOOKUP(A24,tDatos[],5,0)</f>
        <v>EGIPTO</v>
      </c>
      <c r="G24" s="192" t="str">
        <f>IF(AND(I24&lt;&gt;"",K24&lt;&gt;""),IF(I24=K24,"E",IF(I24&gt;K24,"G","P")),"")</f>
        <v>E</v>
      </c>
      <c r="H24" s="20"/>
      <c r="I24" s="280">
        <f>IF(Ingreso!G393="","",Ingreso!G393)</f>
        <v>1</v>
      </c>
      <c r="J24" s="237" t="s">
        <v>0</v>
      </c>
      <c r="K24" s="280">
        <f>IF(Ingreso!J393="","",Ingreso!J393)</f>
        <v>1</v>
      </c>
      <c r="L24" s="192" t="str">
        <f>IF(AND(K24&lt;&gt;"",I24&lt;&gt;""),IF(K24=I24,"E",IF(K24&gt;I24,"G","P")),"")</f>
        <v>E</v>
      </c>
      <c r="M24" s="19"/>
      <c r="N24" s="193" t="str">
        <f>VLOOKUP(A24,tDatos[],6,0)</f>
        <v>IRÁN</v>
      </c>
      <c r="O24" s="18"/>
      <c r="P24" s="218" t="str">
        <f>VLOOKUP(A24,tDatos[],9,0)</f>
        <v>Seattle</v>
      </c>
      <c r="R24" s="244"/>
      <c r="S24" s="245"/>
      <c r="T24" s="245"/>
      <c r="U24" s="245"/>
      <c r="V24" s="255"/>
      <c r="W24" s="248"/>
      <c r="X24" s="248"/>
      <c r="Y24" s="248"/>
      <c r="Z24" s="248"/>
      <c r="AA24" s="248"/>
      <c r="AB24" s="247"/>
      <c r="AC24" s="254"/>
      <c r="AD24" s="223"/>
      <c r="AE24" s="223"/>
      <c r="AF24" s="223"/>
      <c r="AG24" s="251"/>
      <c r="AH24" s="223"/>
      <c r="AI24" s="223"/>
      <c r="AJ24" s="223"/>
      <c r="AK24" s="251"/>
      <c r="AL24" s="251"/>
      <c r="AM24" s="223"/>
      <c r="AN24" s="223"/>
      <c r="AO24" s="223"/>
      <c r="AP24" s="223"/>
      <c r="AQ24" s="223"/>
      <c r="AR24" s="148" t="str">
        <f>F24&amp;N24</f>
        <v>EGIPTOIRÁN</v>
      </c>
      <c r="AS24" s="148" t="str">
        <f>IF(I24&gt;K24,F24,IF(K24&gt;I24,N24,""))</f>
        <v/>
      </c>
      <c r="AT24" s="149">
        <f>I24</f>
        <v>1</v>
      </c>
      <c r="AU24" s="149">
        <f>K24</f>
        <v>1</v>
      </c>
      <c r="AV24" s="149">
        <f>AT24-AU24</f>
        <v>0</v>
      </c>
      <c r="AW24" s="225"/>
      <c r="AX24" s="228"/>
      <c r="AY24" s="228"/>
      <c r="AZ24" s="228"/>
      <c r="BA24" s="225"/>
      <c r="BB24" s="225"/>
      <c r="BC24" s="228"/>
      <c r="BD24" s="225"/>
      <c r="BE24" s="279"/>
      <c r="BF24" s="225"/>
      <c r="BG24" s="225"/>
      <c r="BH24" s="225"/>
    </row>
    <row r="25" spans="1:60" ht="7.5" customHeight="1" x14ac:dyDescent="0.25">
      <c r="A25" s="229"/>
      <c r="B25" s="196"/>
      <c r="C25" s="196"/>
      <c r="D25" s="196"/>
      <c r="E25" s="18"/>
      <c r="F25" s="198"/>
      <c r="G25" s="192"/>
      <c r="H25" s="20"/>
      <c r="I25" s="281"/>
      <c r="J25" s="237"/>
      <c r="K25" s="281"/>
      <c r="L25" s="192"/>
      <c r="M25" s="19"/>
      <c r="N25" s="193"/>
      <c r="O25" s="18"/>
      <c r="P25" s="218"/>
      <c r="R25" s="240" t="str">
        <f>"  4)  " &amp; VLOOKUP(4,$AE$10:$AF$29,2,0)</f>
        <v xml:space="preserve">  4)  NUEVA ZELANDA</v>
      </c>
      <c r="S25" s="241"/>
      <c r="T25" s="241"/>
      <c r="U25" s="241"/>
      <c r="V25" s="255">
        <f>VLOOKUP(4,$AE$10:$AG$29,3,0)</f>
        <v>3</v>
      </c>
      <c r="W25" s="248">
        <f>VLOOKUP(4,$AE$10:$AH$29,4,0)</f>
        <v>0</v>
      </c>
      <c r="X25" s="248">
        <f>VLOOKUP(4,$AE$10:$AI$29,5,0)</f>
        <v>1</v>
      </c>
      <c r="Y25" s="248">
        <f>VLOOKUP(4,$AE$10:$AJ$29,6,0)</f>
        <v>2</v>
      </c>
      <c r="Z25" s="248">
        <f>VLOOKUP(4,$AE$10:$AK$29,7,0)</f>
        <v>4</v>
      </c>
      <c r="AA25" s="248">
        <f>VLOOKUP(4,$AE$10:$AL$29,8,0)</f>
        <v>10</v>
      </c>
      <c r="AB25" s="247">
        <f>Z25-AA25</f>
        <v>-6</v>
      </c>
      <c r="AC25" s="252">
        <f>(W25*3)+X25</f>
        <v>1</v>
      </c>
      <c r="AD25" s="223">
        <f>RANK(AO25,$AO$10:$AO$29,0)</f>
        <v>4</v>
      </c>
      <c r="AE25" s="223">
        <f>RANK(AP25,$AP$10:$AP$29,1)</f>
        <v>4</v>
      </c>
      <c r="AF25" s="223" t="str">
        <f>N12</f>
        <v>NUEVA ZELANDA</v>
      </c>
      <c r="AG25" s="249">
        <f>3-COUNTIF(I35:K35,"")</f>
        <v>3</v>
      </c>
      <c r="AH25" s="223">
        <f>COUNTIF(I35:K35,"G")</f>
        <v>0</v>
      </c>
      <c r="AI25" s="223">
        <f>COUNTIF(I35:K35,"E")</f>
        <v>1</v>
      </c>
      <c r="AJ25" s="223">
        <f>COUNTIF(I35:K35,"P")</f>
        <v>2</v>
      </c>
      <c r="AK25" s="249">
        <f>SUM(K12,I20,I28)</f>
        <v>4</v>
      </c>
      <c r="AL25" s="249">
        <f>SUM(I12,K20,K28)</f>
        <v>10</v>
      </c>
      <c r="AM25" s="223">
        <f>AK25-AL25</f>
        <v>-6</v>
      </c>
      <c r="AN25" s="223">
        <f>(AH25*3)+AI25*vcp</f>
        <v>1</v>
      </c>
      <c r="AO25" s="223">
        <f>IF($AO$6&gt;0,AN25*10)</f>
        <v>10</v>
      </c>
      <c r="AP25" s="223">
        <f>IF(AF25=$R$38,BF25-100,IF(AF25=$R$37,BF25-200,IF(AF25=$R$36,BF25-300,BF25)))</f>
        <v>4</v>
      </c>
      <c r="AQ25" s="223" t="str">
        <f>IF(SUM($V$10:$V$29)&gt;0,VLOOKUP(4,$AE$10:$AF$29,2,0),"")</f>
        <v>NUEVA ZELANDA</v>
      </c>
      <c r="AR25" s="148" t="str">
        <f>N24&amp;F24</f>
        <v>IRÁNEGIPTO</v>
      </c>
      <c r="AS25" s="148" t="str">
        <f>IF(I24&gt;K24,F24,IF(K24&gt;I24,N24,""))</f>
        <v/>
      </c>
      <c r="AT25" s="149">
        <f>K24</f>
        <v>1</v>
      </c>
      <c r="AU25" s="149">
        <f>I24</f>
        <v>1</v>
      </c>
      <c r="AV25" s="149">
        <f>AT25-AU25</f>
        <v>0</v>
      </c>
      <c r="AW25" s="225">
        <f>RANK(AY25,$AY$10:$AY$29,0)</f>
        <v>4</v>
      </c>
      <c r="AX25" s="226">
        <f>IF(AND($AO$6&gt;0,$AP$6&gt;0),AN25*10000+AZ25,AO25)</f>
        <v>10000</v>
      </c>
      <c r="AY25" s="226">
        <f>IF(AND($AO$6&gt;0,$AP$6&gt;0),AN25*10000+AZ25-3,AO25)</f>
        <v>9997</v>
      </c>
      <c r="AZ25" s="226">
        <f>--IF(AND($AO$6&gt;0,$AP$6&gt;0),
_xlfn.IFNA(IF(AN25=VLOOKUP(1,$AD$10:$AN$29,11,0),IF(VLOOKUP(AF25&amp;VLOOKUP(1,$AD$10:$AN$29,3,0),$AR$8:$AS$29,2,0)=AF25,1000)),0)+
_xlfn.IFNA(IF(AN25=VLOOKUP(2,$AD$10:$AN$29,11,0),IF(VLOOKUP(AF25&amp;VLOOKUP(2,$AD$10:$AN$29,3,0),$AR$8:$AS$29,2,0)=AF25,1000)),0)+
_xlfn.IFNA(IF(AN25=VLOOKUP(3,$AD$10:$AN$29,11,0),IF(VLOOKUP(AF25&amp;VLOOKUP(3,$AD$10:$AN$29,3,0),$AR$8:$AS$29,2,0)=AF25,1000)),0)+
_xlfn.IFNA(IF(AN25=VLOOKUP(4,$AD$10:$AN$29,11,0),IF(VLOOKUP(AF25&amp;VLOOKUP(4,$AD$10:$AN$29,3,0),$AR$8:$AS$29,2,0)=AF25,1000)),0))</f>
        <v>0</v>
      </c>
      <c r="BA25" s="225">
        <f>RANK(BB25,$BB$10:$BB$29,0)</f>
        <v>4</v>
      </c>
      <c r="BB25" s="225">
        <f>AX25+BD25</f>
        <v>10000</v>
      </c>
      <c r="BC25" s="226">
        <f>AX25+BD25</f>
        <v>10000</v>
      </c>
      <c r="BD25" s="225">
        <f>--IF(AND($AO$6&gt;0,$AX$6&gt;0),
_xlfn.IFNA(IF(AX25=VLOOKUP(1,$AW$10:$AX$29,2,0),IF(VLOOKUP(AF25&amp;VLOOKUP(1,$AD$10:$AX$29,3,0),$AR$8:$AV$29,2,0)=AF25,VLOOKUP(AF25&amp;VLOOKUP(1,$AD$10:$AX$29,3,0),$AR$8:$AV$29,5,0)*100+VLOOKUP(AF25&amp;VLOOKUP(1,$AD$10:$AX$29,3,0),$AR$8:$AV$29,3,0)*10)),0)+
_xlfn.IFNA(IF(AX25=VLOOKUP(2,$AW$10:$AX$29,2,0),IF(VLOOKUP(AF25&amp;VLOOKUP(2,$AD$10:$AX$29,3,0),$AR$8:$AV$29,2,0)=AF25,VLOOKUP(AF25&amp;VLOOKUP(2,$AD$10:$AX$29,3,0),$AR$8:$AV$29,5,0)*100+VLOOKUP(AF25&amp;VLOOKUP(2,$AD$10:$AX$29,3,0),$AR$8:$AV$29,3,0)*10)),0)+
_xlfn.IFNA(IF(AX25=VLOOKUP(3,$AW$10:$AX$29,2,0),IF(VLOOKUP(AF25&amp;VLOOKUP(3,$AD$10:$AX$29,3,0),$AR$8:$AV$29,2,0)=AF25,VLOOKUP(AF25&amp;VLOOKUP(3,$AD$10:$AX$29,3,0),$AR$8:$AV$29,5,0)*100+VLOOKUP(AF25&amp;VLOOKUP(3,$AD$10:$AX$29,3,0),$AR$8:$AV$29,3,0)*10)),0)+
_xlfn.IFNA(IF(AX25=VLOOKUP(4,$AW$10:$AX$29,2,0),IF(VLOOKUP(AF25&amp;VLOOKUP(4,$AD$10:$AX$29,3,0),$AR$8:$AV$29,2,0)=AF25,VLOOKUP(AF25&amp;VLOOKUP(4,$AD$10:$AX$29,3,0),$AR$8:$AV$29,5,0)*100+VLOOKUP(AF25&amp;VLOOKUP(4,$AD$10:$AX$29,3,0),$AR$8:$AV$29,3,0)*10)),0))</f>
        <v>0</v>
      </c>
      <c r="BE25" s="279">
        <f>IF(AND($AO$6&gt;0,$BB$6&gt;0),AN25*1000+AM25*100+AK25*10,0)/100+BB25</f>
        <v>10004.4</v>
      </c>
      <c r="BF25" s="225">
        <f>RANK(BE25,$BE$10:$BE$29)</f>
        <v>4</v>
      </c>
      <c r="BG25" s="279">
        <f>BE25</f>
        <v>10004.4</v>
      </c>
      <c r="BH25" s="279">
        <f>COUNTIF($BG$10:$BG$29,BG25)</f>
        <v>1</v>
      </c>
    </row>
    <row r="26" spans="1:60" ht="7.5" customHeight="1" x14ac:dyDescent="0.25">
      <c r="A26" s="229"/>
      <c r="B26" s="194"/>
      <c r="C26" s="230"/>
      <c r="D26" s="231"/>
      <c r="E26" s="18"/>
      <c r="F26" s="232"/>
      <c r="G26" s="18"/>
      <c r="H26" s="18"/>
      <c r="I26" s="192"/>
      <c r="J26" s="192"/>
      <c r="K26" s="192"/>
      <c r="L26" s="18"/>
      <c r="M26" s="18"/>
      <c r="N26" s="232"/>
      <c r="O26" s="18"/>
      <c r="P26" s="236"/>
      <c r="R26" s="242"/>
      <c r="S26" s="243"/>
      <c r="T26" s="243"/>
      <c r="U26" s="243"/>
      <c r="V26" s="255"/>
      <c r="W26" s="248"/>
      <c r="X26" s="248"/>
      <c r="Y26" s="248"/>
      <c r="Z26" s="248"/>
      <c r="AA26" s="248"/>
      <c r="AB26" s="247"/>
      <c r="AC26" s="253"/>
      <c r="AD26" s="223"/>
      <c r="AE26" s="223"/>
      <c r="AF26" s="223"/>
      <c r="AG26" s="250"/>
      <c r="AH26" s="223"/>
      <c r="AI26" s="223"/>
      <c r="AJ26" s="223"/>
      <c r="AK26" s="250"/>
      <c r="AL26" s="250"/>
      <c r="AM26" s="223"/>
      <c r="AN26" s="223"/>
      <c r="AO26" s="223"/>
      <c r="AP26" s="223"/>
      <c r="AQ26" s="223"/>
      <c r="AR26" s="151"/>
      <c r="AS26" s="148"/>
      <c r="AT26" s="148"/>
      <c r="AU26" s="148"/>
      <c r="AV26" s="152"/>
      <c r="AW26" s="225"/>
      <c r="AX26" s="227"/>
      <c r="AY26" s="227"/>
      <c r="AZ26" s="227"/>
      <c r="BA26" s="225"/>
      <c r="BB26" s="225"/>
      <c r="BC26" s="227"/>
      <c r="BD26" s="225"/>
      <c r="BE26" s="279"/>
      <c r="BF26" s="225"/>
      <c r="BG26" s="225"/>
      <c r="BH26" s="225"/>
    </row>
    <row r="27" spans="1:60" ht="7.5" customHeight="1" x14ac:dyDescent="0.25">
      <c r="A27" s="229"/>
      <c r="B27" s="194"/>
      <c r="C27" s="230"/>
      <c r="D27" s="231"/>
      <c r="E27" s="18"/>
      <c r="F27" s="232"/>
      <c r="G27" s="18"/>
      <c r="H27" s="18"/>
      <c r="I27" s="192"/>
      <c r="J27" s="192"/>
      <c r="K27" s="192"/>
      <c r="L27" s="18"/>
      <c r="M27" s="18"/>
      <c r="N27" s="232"/>
      <c r="O27" s="18"/>
      <c r="P27" s="236"/>
      <c r="R27" s="242"/>
      <c r="S27" s="243"/>
      <c r="T27" s="243"/>
      <c r="U27" s="243"/>
      <c r="V27" s="255"/>
      <c r="W27" s="248"/>
      <c r="X27" s="248"/>
      <c r="Y27" s="248"/>
      <c r="Z27" s="248"/>
      <c r="AA27" s="248"/>
      <c r="AB27" s="247"/>
      <c r="AC27" s="253"/>
      <c r="AD27" s="223"/>
      <c r="AE27" s="223"/>
      <c r="AF27" s="223"/>
      <c r="AG27" s="250"/>
      <c r="AH27" s="223"/>
      <c r="AI27" s="223"/>
      <c r="AJ27" s="223"/>
      <c r="AK27" s="250"/>
      <c r="AL27" s="250"/>
      <c r="AM27" s="223"/>
      <c r="AN27" s="223"/>
      <c r="AO27" s="223"/>
      <c r="AP27" s="223"/>
      <c r="AQ27" s="223"/>
      <c r="AR27" s="151"/>
      <c r="AS27" s="148"/>
      <c r="AT27" s="148"/>
      <c r="AU27" s="148"/>
      <c r="AV27" s="152"/>
      <c r="AW27" s="225"/>
      <c r="AX27" s="227"/>
      <c r="AY27" s="227"/>
      <c r="AZ27" s="227"/>
      <c r="BA27" s="225"/>
      <c r="BB27" s="225"/>
      <c r="BC27" s="227"/>
      <c r="BD27" s="225"/>
      <c r="BE27" s="279"/>
      <c r="BF27" s="225"/>
      <c r="BG27" s="225"/>
      <c r="BH27" s="225"/>
    </row>
    <row r="28" spans="1:60" ht="7.5" customHeight="1" x14ac:dyDescent="0.25">
      <c r="A28" s="229">
        <v>66</v>
      </c>
      <c r="B28" s="196">
        <v>64</v>
      </c>
      <c r="C28" s="195">
        <f>VLOOKUP(A28,tDatos[],IF(UTCElegido="",3,12),0)</f>
        <v>46199</v>
      </c>
      <c r="D28" s="197">
        <f>VLOOKUP(A28,tDatos[],IF(UTCElegido="",4,12),0)</f>
        <v>0.95833333333333337</v>
      </c>
      <c r="E28" s="18"/>
      <c r="F28" s="198" t="str">
        <f>VLOOKUP(A28,tDatos[],5,0)</f>
        <v>NUEVA ZELANDA</v>
      </c>
      <c r="G28" s="192" t="str">
        <f>IF(AND(I28&lt;&gt;"",K28&lt;&gt;""),IF(I28=K28,"E",IF(I28&gt;K28,"G","P")),"")</f>
        <v>P</v>
      </c>
      <c r="H28" s="20"/>
      <c r="I28" s="280">
        <f>IF(Ingreso!G399="","",Ingreso!G399)</f>
        <v>1</v>
      </c>
      <c r="J28" s="237" t="s">
        <v>0</v>
      </c>
      <c r="K28" s="280">
        <f>IF(Ingreso!J399="","",Ingreso!J399)</f>
        <v>5</v>
      </c>
      <c r="L28" s="192" t="str">
        <f>IF(AND(K28&lt;&gt;"",I28&lt;&gt;""),IF(K28=I28,"E",IF(K28&gt;I28,"G","P")),"")</f>
        <v>G</v>
      </c>
      <c r="M28" s="19"/>
      <c r="N28" s="193" t="str">
        <f>VLOOKUP(A28,tDatos[],6,0)</f>
        <v>BÉLGICA</v>
      </c>
      <c r="O28" s="18"/>
      <c r="P28" s="218" t="str">
        <f>VLOOKUP(A28,tDatos[],9,0)</f>
        <v>Vancouver</v>
      </c>
      <c r="R28" s="242"/>
      <c r="S28" s="243"/>
      <c r="T28" s="243"/>
      <c r="U28" s="243"/>
      <c r="V28" s="255"/>
      <c r="W28" s="248"/>
      <c r="X28" s="248"/>
      <c r="Y28" s="248"/>
      <c r="Z28" s="248"/>
      <c r="AA28" s="248"/>
      <c r="AB28" s="247"/>
      <c r="AC28" s="253"/>
      <c r="AD28" s="223"/>
      <c r="AE28" s="223"/>
      <c r="AF28" s="223"/>
      <c r="AG28" s="250"/>
      <c r="AH28" s="223"/>
      <c r="AI28" s="223"/>
      <c r="AJ28" s="223"/>
      <c r="AK28" s="250"/>
      <c r="AL28" s="250"/>
      <c r="AM28" s="223"/>
      <c r="AN28" s="223"/>
      <c r="AO28" s="223"/>
      <c r="AP28" s="223"/>
      <c r="AQ28" s="223"/>
      <c r="AR28" s="148" t="str">
        <f>F28&amp;N28</f>
        <v>NUEVA ZELANDABÉLGICA</v>
      </c>
      <c r="AS28" s="148" t="str">
        <f>IF(I28&gt;K28,F28,IF(K28&gt;I28,N28,""))</f>
        <v>BÉLGICA</v>
      </c>
      <c r="AT28" s="149">
        <f>I28</f>
        <v>1</v>
      </c>
      <c r="AU28" s="149">
        <f>K28</f>
        <v>5</v>
      </c>
      <c r="AV28" s="149">
        <f>AT28-AU28</f>
        <v>-4</v>
      </c>
      <c r="AW28" s="225"/>
      <c r="AX28" s="227"/>
      <c r="AY28" s="227"/>
      <c r="AZ28" s="227"/>
      <c r="BA28" s="225"/>
      <c r="BB28" s="225"/>
      <c r="BC28" s="227"/>
      <c r="BD28" s="225"/>
      <c r="BE28" s="279"/>
      <c r="BF28" s="225"/>
      <c r="BG28" s="225"/>
      <c r="BH28" s="225"/>
    </row>
    <row r="29" spans="1:60" ht="7.5" customHeight="1" x14ac:dyDescent="0.25">
      <c r="A29" s="229"/>
      <c r="B29" s="196"/>
      <c r="C29" s="196"/>
      <c r="D29" s="196"/>
      <c r="E29" s="18"/>
      <c r="F29" s="198"/>
      <c r="G29" s="192"/>
      <c r="H29" s="20"/>
      <c r="I29" s="281"/>
      <c r="J29" s="237"/>
      <c r="K29" s="281"/>
      <c r="L29" s="192"/>
      <c r="M29" s="19"/>
      <c r="N29" s="193"/>
      <c r="O29" s="18"/>
      <c r="P29" s="218"/>
      <c r="R29" s="244"/>
      <c r="S29" s="245"/>
      <c r="T29" s="245"/>
      <c r="U29" s="245"/>
      <c r="V29" s="255"/>
      <c r="W29" s="248"/>
      <c r="X29" s="248"/>
      <c r="Y29" s="248"/>
      <c r="Z29" s="248"/>
      <c r="AA29" s="248"/>
      <c r="AB29" s="247"/>
      <c r="AC29" s="254"/>
      <c r="AD29" s="223"/>
      <c r="AE29" s="223"/>
      <c r="AF29" s="223"/>
      <c r="AG29" s="251"/>
      <c r="AH29" s="223"/>
      <c r="AI29" s="223"/>
      <c r="AJ29" s="223"/>
      <c r="AK29" s="251"/>
      <c r="AL29" s="251"/>
      <c r="AM29" s="223"/>
      <c r="AN29" s="223"/>
      <c r="AO29" s="223"/>
      <c r="AP29" s="223"/>
      <c r="AQ29" s="223"/>
      <c r="AR29" s="148" t="str">
        <f>N28&amp;F28</f>
        <v>BÉLGICANUEVA ZELANDA</v>
      </c>
      <c r="AS29" s="148" t="str">
        <f>IF(I28&gt;K28,F28,IF(K28&gt;I28,N28,""))</f>
        <v>BÉLGICA</v>
      </c>
      <c r="AT29" s="149">
        <f>K28</f>
        <v>5</v>
      </c>
      <c r="AU29" s="149">
        <f>I28</f>
        <v>1</v>
      </c>
      <c r="AV29" s="149">
        <f>AT29-AU29</f>
        <v>4</v>
      </c>
      <c r="AW29" s="225"/>
      <c r="AX29" s="228"/>
      <c r="AY29" s="228"/>
      <c r="AZ29" s="228"/>
      <c r="BA29" s="225"/>
      <c r="BB29" s="225"/>
      <c r="BC29" s="228"/>
      <c r="BD29" s="225"/>
      <c r="BE29" s="279"/>
      <c r="BF29" s="225"/>
      <c r="BG29" s="225"/>
      <c r="BH29" s="225"/>
    </row>
    <row r="30" spans="1:60" ht="8.1" customHeight="1" x14ac:dyDescent="0.25"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0"/>
    </row>
    <row r="31" spans="1:60" x14ac:dyDescent="0.25">
      <c r="R31" s="154" t="str">
        <f>IF(AO6=12,IF(BH31&gt;4,"***¡ES NECESARIO DESEMPATAR MANUALMENTE!***",""),"")</f>
        <v/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BH31" s="156">
        <f>SUM(BH10:BH29)</f>
        <v>4</v>
      </c>
    </row>
    <row r="32" spans="1:60" hidden="1" x14ac:dyDescent="0.25">
      <c r="F32" t="str">
        <f>F8</f>
        <v>BÉLGICA</v>
      </c>
      <c r="I32" t="str">
        <f>G8</f>
        <v>E</v>
      </c>
      <c r="J32" t="str">
        <f>G16</f>
        <v>E</v>
      </c>
      <c r="K32" t="str">
        <f>L28</f>
        <v>G</v>
      </c>
    </row>
    <row r="33" spans="6:21" hidden="1" x14ac:dyDescent="0.25">
      <c r="F33" t="str">
        <f>N8</f>
        <v>EGIPTO</v>
      </c>
      <c r="I33" t="str">
        <f>L8</f>
        <v>E</v>
      </c>
      <c r="J33" t="str">
        <f>L20</f>
        <v>G</v>
      </c>
      <c r="K33" t="str">
        <f>G24</f>
        <v>E</v>
      </c>
    </row>
    <row r="34" spans="6:21" hidden="1" x14ac:dyDescent="0.25">
      <c r="F34" t="str">
        <f>F12</f>
        <v>IRÁN</v>
      </c>
      <c r="I34" t="str">
        <f>G12</f>
        <v>E</v>
      </c>
      <c r="J34" t="str">
        <f>L16</f>
        <v>E</v>
      </c>
      <c r="K34" t="str">
        <f>L24</f>
        <v>E</v>
      </c>
    </row>
    <row r="35" spans="6:21" hidden="1" x14ac:dyDescent="0.25">
      <c r="F35" t="str">
        <f>N12</f>
        <v>NUEVA ZELANDA</v>
      </c>
      <c r="I35" t="str">
        <f>L12</f>
        <v>E</v>
      </c>
      <c r="J35" t="str">
        <f>G20</f>
        <v>P</v>
      </c>
      <c r="K35" t="str">
        <f>G28</f>
        <v>P</v>
      </c>
    </row>
    <row r="36" spans="6:21" x14ac:dyDescent="0.25">
      <c r="N36" s="157" t="s">
        <v>391</v>
      </c>
      <c r="Q36" s="3" t="s">
        <v>392</v>
      </c>
      <c r="R36" s="233"/>
      <c r="S36" s="234"/>
      <c r="T36" s="234"/>
      <c r="U36" s="235"/>
    </row>
    <row r="37" spans="6:21" x14ac:dyDescent="0.25">
      <c r="N37" s="157" t="s">
        <v>390</v>
      </c>
      <c r="Q37" s="3" t="s">
        <v>393</v>
      </c>
      <c r="R37" s="233"/>
      <c r="S37" s="234"/>
      <c r="T37" s="234"/>
      <c r="U37" s="235"/>
    </row>
    <row r="38" spans="6:21" x14ac:dyDescent="0.25">
      <c r="N38" s="143"/>
      <c r="Q38" s="3" t="s">
        <v>394</v>
      </c>
      <c r="R38" s="233"/>
      <c r="S38" s="234"/>
      <c r="T38" s="234"/>
      <c r="U38" s="235"/>
    </row>
  </sheetData>
  <sheetProtection sheet="1" objects="1" scenarios="1"/>
  <mergeCells count="289">
    <mergeCell ref="B26:B27"/>
    <mergeCell ref="B28:B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F20:BF24"/>
    <mergeCell ref="BG20:BG24"/>
    <mergeCell ref="BH20:BH24"/>
    <mergeCell ref="AW25:AW29"/>
    <mergeCell ref="AX25:AX29"/>
    <mergeCell ref="AY25:AY29"/>
    <mergeCell ref="AZ25:AZ29"/>
    <mergeCell ref="BA25:BA29"/>
    <mergeCell ref="BB25:BB29"/>
    <mergeCell ref="BC25:BC29"/>
    <mergeCell ref="BD25:BD29"/>
    <mergeCell ref="BE25:BE29"/>
    <mergeCell ref="BF25:BF29"/>
    <mergeCell ref="BG25:BG29"/>
    <mergeCell ref="BH25:BH29"/>
    <mergeCell ref="AW20:AW24"/>
    <mergeCell ref="AX20:AX24"/>
    <mergeCell ref="AY20:AY24"/>
    <mergeCell ref="AZ20:AZ24"/>
    <mergeCell ref="BA20:BA24"/>
    <mergeCell ref="BB20:BB24"/>
    <mergeCell ref="BC20:BC24"/>
    <mergeCell ref="BD20:BD24"/>
    <mergeCell ref="BE20:BE24"/>
    <mergeCell ref="BC10:BC14"/>
    <mergeCell ref="BD10:BD14"/>
    <mergeCell ref="BE10:BE14"/>
    <mergeCell ref="BF10:BF14"/>
    <mergeCell ref="BG10:BG14"/>
    <mergeCell ref="BH10:BH14"/>
    <mergeCell ref="AW15:AW19"/>
    <mergeCell ref="AX15:AX19"/>
    <mergeCell ref="AY15:AY19"/>
    <mergeCell ref="AZ15:AZ19"/>
    <mergeCell ref="BA15:BA19"/>
    <mergeCell ref="BB15:BB19"/>
    <mergeCell ref="BC15:BC19"/>
    <mergeCell ref="BD15:BD19"/>
    <mergeCell ref="BE15:BE19"/>
    <mergeCell ref="BF15:BF19"/>
    <mergeCell ref="BG15:BG19"/>
    <mergeCell ref="BH15:BH19"/>
    <mergeCell ref="AO8:AO9"/>
    <mergeCell ref="AP8:AP9"/>
    <mergeCell ref="AQ8:AQ9"/>
    <mergeCell ref="AW10:AW14"/>
    <mergeCell ref="AX10:AX14"/>
    <mergeCell ref="AY10:AY14"/>
    <mergeCell ref="AZ10:AZ14"/>
    <mergeCell ref="BA10:BA14"/>
    <mergeCell ref="BB10:BB14"/>
    <mergeCell ref="AG8:AG9"/>
    <mergeCell ref="AH8:AH9"/>
    <mergeCell ref="AI8:AI9"/>
    <mergeCell ref="AJ8:AJ9"/>
    <mergeCell ref="AK8:AK9"/>
    <mergeCell ref="AL8:AL9"/>
    <mergeCell ref="AM8:AM9"/>
    <mergeCell ref="AC20:AC24"/>
    <mergeCell ref="AL10:AL14"/>
    <mergeCell ref="AD15:AD19"/>
    <mergeCell ref="AC15:AC19"/>
    <mergeCell ref="AK15:AK19"/>
    <mergeCell ref="AL15:AL19"/>
    <mergeCell ref="AD8:AD9"/>
    <mergeCell ref="AC25:AC29"/>
    <mergeCell ref="R6:AC6"/>
    <mergeCell ref="AF10:AF14"/>
    <mergeCell ref="AF15:AF19"/>
    <mergeCell ref="AF20:AF24"/>
    <mergeCell ref="AF25:AF29"/>
    <mergeCell ref="T1:X1"/>
    <mergeCell ref="E6:O6"/>
    <mergeCell ref="P8:P9"/>
    <mergeCell ref="AE10:AE14"/>
    <mergeCell ref="N10:N11"/>
    <mergeCell ref="P10:P11"/>
    <mergeCell ref="R10:U14"/>
    <mergeCell ref="V10:V14"/>
    <mergeCell ref="W10:W14"/>
    <mergeCell ref="X10:X14"/>
    <mergeCell ref="R8:U9"/>
    <mergeCell ref="V8:V9"/>
    <mergeCell ref="AC7:AC9"/>
    <mergeCell ref="AC10:AC14"/>
    <mergeCell ref="L12:L13"/>
    <mergeCell ref="N12:N13"/>
    <mergeCell ref="P12:P13"/>
    <mergeCell ref="I14:I15"/>
    <mergeCell ref="A8:A9"/>
    <mergeCell ref="C8:C9"/>
    <mergeCell ref="D8:D9"/>
    <mergeCell ref="F8:F9"/>
    <mergeCell ref="G8:G9"/>
    <mergeCell ref="I8:I9"/>
    <mergeCell ref="J8:J9"/>
    <mergeCell ref="AN8:AN9"/>
    <mergeCell ref="A10:A11"/>
    <mergeCell ref="C10:C11"/>
    <mergeCell ref="D10:D11"/>
    <mergeCell ref="F10:F11"/>
    <mergeCell ref="I10:I11"/>
    <mergeCell ref="J10:J11"/>
    <mergeCell ref="K10:K11"/>
    <mergeCell ref="W8:W9"/>
    <mergeCell ref="X8:X9"/>
    <mergeCell ref="Y8:Y9"/>
    <mergeCell ref="Z8:Z9"/>
    <mergeCell ref="AA8:AA9"/>
    <mergeCell ref="AB8:AB9"/>
    <mergeCell ref="K8:K9"/>
    <mergeCell ref="L8:L9"/>
    <mergeCell ref="N8:N9"/>
    <mergeCell ref="AN10:AN14"/>
    <mergeCell ref="AO10:AO14"/>
    <mergeCell ref="AP10:AP14"/>
    <mergeCell ref="AQ10:AQ14"/>
    <mergeCell ref="A12:A13"/>
    <mergeCell ref="C12:C13"/>
    <mergeCell ref="D12:D13"/>
    <mergeCell ref="F12:F13"/>
    <mergeCell ref="G12:G13"/>
    <mergeCell ref="AM10:AM14"/>
    <mergeCell ref="AG10:AG14"/>
    <mergeCell ref="AH10:AH14"/>
    <mergeCell ref="AI10:AI14"/>
    <mergeCell ref="AJ10:AJ14"/>
    <mergeCell ref="AK10:AK14"/>
    <mergeCell ref="Y10:Y14"/>
    <mergeCell ref="Z10:Z14"/>
    <mergeCell ref="AA10:AA14"/>
    <mergeCell ref="AB10:AB14"/>
    <mergeCell ref="AD10:AD14"/>
    <mergeCell ref="A14:A15"/>
    <mergeCell ref="C14:C15"/>
    <mergeCell ref="D14:D15"/>
    <mergeCell ref="F14:F15"/>
    <mergeCell ref="J14:J15"/>
    <mergeCell ref="I12:I13"/>
    <mergeCell ref="J12:J13"/>
    <mergeCell ref="K12:K13"/>
    <mergeCell ref="X15:X19"/>
    <mergeCell ref="Y15:Y19"/>
    <mergeCell ref="Z15:Z19"/>
    <mergeCell ref="AA15:AA19"/>
    <mergeCell ref="AB15:AB19"/>
    <mergeCell ref="K14:K15"/>
    <mergeCell ref="N14:N15"/>
    <mergeCell ref="P14:P15"/>
    <mergeCell ref="R15:U19"/>
    <mergeCell ref="V15:V19"/>
    <mergeCell ref="W15:W19"/>
    <mergeCell ref="N16:N17"/>
    <mergeCell ref="P16:P17"/>
    <mergeCell ref="AN15:AN19"/>
    <mergeCell ref="AO15:AO19"/>
    <mergeCell ref="AP15:AP19"/>
    <mergeCell ref="AQ15:AQ19"/>
    <mergeCell ref="AE15:AE19"/>
    <mergeCell ref="AM15:AM19"/>
    <mergeCell ref="AG15:AG19"/>
    <mergeCell ref="AH15:AH19"/>
    <mergeCell ref="AI15:AI19"/>
    <mergeCell ref="AJ15:AJ19"/>
    <mergeCell ref="A20:A21"/>
    <mergeCell ref="C20:C21"/>
    <mergeCell ref="D20:D21"/>
    <mergeCell ref="F20:F21"/>
    <mergeCell ref="G20:G21"/>
    <mergeCell ref="I20:I21"/>
    <mergeCell ref="J16:J17"/>
    <mergeCell ref="K16:K17"/>
    <mergeCell ref="L16:L17"/>
    <mergeCell ref="A18:A19"/>
    <mergeCell ref="C18:C19"/>
    <mergeCell ref="D18:D19"/>
    <mergeCell ref="F18:F19"/>
    <mergeCell ref="I18:I19"/>
    <mergeCell ref="A16:A17"/>
    <mergeCell ref="C16:C17"/>
    <mergeCell ref="D16:D17"/>
    <mergeCell ref="F16:F17"/>
    <mergeCell ref="G16:G17"/>
    <mergeCell ref="I16:I17"/>
    <mergeCell ref="P20:P21"/>
    <mergeCell ref="R20:U24"/>
    <mergeCell ref="P22:P23"/>
    <mergeCell ref="J24:J25"/>
    <mergeCell ref="K24:K25"/>
    <mergeCell ref="L24:L25"/>
    <mergeCell ref="J18:J19"/>
    <mergeCell ref="K18:K19"/>
    <mergeCell ref="N18:N19"/>
    <mergeCell ref="P18:P19"/>
    <mergeCell ref="AP20:AP24"/>
    <mergeCell ref="AQ20:AQ24"/>
    <mergeCell ref="A22:A23"/>
    <mergeCell ref="C22:C23"/>
    <mergeCell ref="D22:D23"/>
    <mergeCell ref="F22:F23"/>
    <mergeCell ref="I22:I23"/>
    <mergeCell ref="J22:J23"/>
    <mergeCell ref="K22:K23"/>
    <mergeCell ref="N22:N23"/>
    <mergeCell ref="AI20:AI24"/>
    <mergeCell ref="AJ20:AJ24"/>
    <mergeCell ref="AK20:AK24"/>
    <mergeCell ref="AL20:AL24"/>
    <mergeCell ref="AN20:AN24"/>
    <mergeCell ref="AO20:AO24"/>
    <mergeCell ref="AB20:AB24"/>
    <mergeCell ref="AD20:AD24"/>
    <mergeCell ref="AE20:AE24"/>
    <mergeCell ref="AM20:AM24"/>
    <mergeCell ref="AG20:AG24"/>
    <mergeCell ref="AH20:AH24"/>
    <mergeCell ref="V20:V24"/>
    <mergeCell ref="W20:W24"/>
    <mergeCell ref="AP25:AP29"/>
    <mergeCell ref="AQ25:AQ29"/>
    <mergeCell ref="A26:A27"/>
    <mergeCell ref="C26:C27"/>
    <mergeCell ref="D26:D27"/>
    <mergeCell ref="F26:F27"/>
    <mergeCell ref="I26:I27"/>
    <mergeCell ref="AM25:AM29"/>
    <mergeCell ref="AG25:AG29"/>
    <mergeCell ref="AH25:AH29"/>
    <mergeCell ref="AI25:AI29"/>
    <mergeCell ref="AJ25:AJ29"/>
    <mergeCell ref="AK25:AK29"/>
    <mergeCell ref="Y25:Y29"/>
    <mergeCell ref="Z25:Z29"/>
    <mergeCell ref="AA25:AA29"/>
    <mergeCell ref="AB25:AB29"/>
    <mergeCell ref="AD25:AD29"/>
    <mergeCell ref="AE25:AE29"/>
    <mergeCell ref="N24:N25"/>
    <mergeCell ref="P24:P25"/>
    <mergeCell ref="R25:U29"/>
    <mergeCell ref="V25:V29"/>
    <mergeCell ref="W25:W29"/>
    <mergeCell ref="A28:A29"/>
    <mergeCell ref="C28:C29"/>
    <mergeCell ref="D28:D29"/>
    <mergeCell ref="F28:F29"/>
    <mergeCell ref="G28:G29"/>
    <mergeCell ref="I28:I29"/>
    <mergeCell ref="AL25:AL29"/>
    <mergeCell ref="AN25:AN29"/>
    <mergeCell ref="AO25:AO29"/>
    <mergeCell ref="X25:X29"/>
    <mergeCell ref="A24:A25"/>
    <mergeCell ref="C24:C25"/>
    <mergeCell ref="D24:D25"/>
    <mergeCell ref="F24:F25"/>
    <mergeCell ref="G24:G25"/>
    <mergeCell ref="I24:I25"/>
    <mergeCell ref="X20:X24"/>
    <mergeCell ref="Y20:Y24"/>
    <mergeCell ref="Z20:Z24"/>
    <mergeCell ref="AA20:AA24"/>
    <mergeCell ref="J20:J21"/>
    <mergeCell ref="K20:K21"/>
    <mergeCell ref="L20:L21"/>
    <mergeCell ref="N20:N21"/>
    <mergeCell ref="R37:U37"/>
    <mergeCell ref="R38:U38"/>
    <mergeCell ref="J28:J29"/>
    <mergeCell ref="K28:K29"/>
    <mergeCell ref="L28:L29"/>
    <mergeCell ref="N28:N29"/>
    <mergeCell ref="P28:P29"/>
    <mergeCell ref="R36:U36"/>
    <mergeCell ref="J26:J27"/>
    <mergeCell ref="K26:K27"/>
    <mergeCell ref="N26:N27"/>
    <mergeCell ref="P26:P27"/>
  </mergeCells>
  <dataValidations count="1">
    <dataValidation type="list" allowBlank="1" showInputMessage="1" showErrorMessage="1" errorTitle="El nombre no es válido" error="Debes escoger uno de los nombres de la lista." sqref="R36:U38" xr:uid="{44A09D27-1BC0-452E-9404-F9A3154D515F}">
      <formula1>$F$32:$F$35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130</vt:i4>
      </vt:variant>
    </vt:vector>
  </HeadingPairs>
  <TitlesOfParts>
    <vt:vector size="153" baseType="lpstr">
      <vt:lpstr>Portada</vt:lpstr>
      <vt:lpstr>Ingreso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Dieciseisavos</vt:lpstr>
      <vt:lpstr>Octavos</vt:lpstr>
      <vt:lpstr>Cuartos</vt:lpstr>
      <vt:lpstr>Semifinales</vt:lpstr>
      <vt:lpstr>FINAL</vt:lpstr>
      <vt:lpstr>Extra</vt:lpstr>
      <vt:lpstr>UTC</vt:lpstr>
      <vt:lpstr>Copyright</vt:lpstr>
      <vt:lpstr>Recursos</vt:lpstr>
      <vt:lpstr>ALEMANIA</vt:lpstr>
      <vt:lpstr>ARABIA_SAUDITA</vt:lpstr>
      <vt:lpstr>ARGELIA</vt:lpstr>
      <vt:lpstr>ARGENTINA</vt:lpstr>
      <vt:lpstr>AUSTRALIA</vt:lpstr>
      <vt:lpstr>AUSTRIA</vt:lpstr>
      <vt:lpstr>BÉLGICA</vt:lpstr>
      <vt:lpstr>BOSNIA_y_HERZEG.</vt:lpstr>
      <vt:lpstr>BRASIL</vt:lpstr>
      <vt:lpstr>CABO_VERDE</vt:lpstr>
      <vt:lpstr>CANADÁ</vt:lpstr>
      <vt:lpstr>CATAR</vt:lpstr>
      <vt:lpstr>clave</vt:lpstr>
      <vt:lpstr>claveN</vt:lpstr>
      <vt:lpstr>CoefUTCD</vt:lpstr>
      <vt:lpstr>COLOMBIA</vt:lpstr>
      <vt:lpstr>COREA_del_SUR</vt:lpstr>
      <vt:lpstr>COSTA_de_MARFIL</vt:lpstr>
      <vt:lpstr>CROACIA</vt:lpstr>
      <vt:lpstr>CURAZAO</vt:lpstr>
      <vt:lpstr>ECUADOR</vt:lpstr>
      <vt:lpstr>EGIPTO</vt:lpstr>
      <vt:lpstr>ESCOCIA</vt:lpstr>
      <vt:lpstr>ESPAÑA</vt:lpstr>
      <vt:lpstr>ESTADOS_UNIDOS</vt:lpstr>
      <vt:lpstr>FRANCIA</vt:lpstr>
      <vt:lpstr>Ganador100</vt:lpstr>
      <vt:lpstr>Ganador101</vt:lpstr>
      <vt:lpstr>Ganador102</vt:lpstr>
      <vt:lpstr>Ganador73</vt:lpstr>
      <vt:lpstr>Ganador74</vt:lpstr>
      <vt:lpstr>Ganador75</vt:lpstr>
      <vt:lpstr>Ganador76</vt:lpstr>
      <vt:lpstr>Ganador77</vt:lpstr>
      <vt:lpstr>Ganador78</vt:lpstr>
      <vt:lpstr>Ganador79</vt:lpstr>
      <vt:lpstr>Ganador80</vt:lpstr>
      <vt:lpstr>Ganador81</vt:lpstr>
      <vt:lpstr>Ganador82</vt:lpstr>
      <vt:lpstr>Ganador83</vt:lpstr>
      <vt:lpstr>Ganador84</vt:lpstr>
      <vt:lpstr>Ganador85</vt:lpstr>
      <vt:lpstr>Ganador86</vt:lpstr>
      <vt:lpstr>Ganador87</vt:lpstr>
      <vt:lpstr>Ganador88</vt:lpstr>
      <vt:lpstr>Ganador89</vt:lpstr>
      <vt:lpstr>Ganador90</vt:lpstr>
      <vt:lpstr>Ganador91</vt:lpstr>
      <vt:lpstr>Ganador92</vt:lpstr>
      <vt:lpstr>Ganador93</vt:lpstr>
      <vt:lpstr>Ganador94</vt:lpstr>
      <vt:lpstr>Ganador95</vt:lpstr>
      <vt:lpstr>Ganador96</vt:lpstr>
      <vt:lpstr>Ganador97</vt:lpstr>
      <vt:lpstr>Ganador98</vt:lpstr>
      <vt:lpstr>Ganador99</vt:lpstr>
      <vt:lpstr>GHANA</vt:lpstr>
      <vt:lpstr>HAITÍ</vt:lpstr>
      <vt:lpstr>HD</vt:lpstr>
      <vt:lpstr>INGLATERRA</vt:lpstr>
      <vt:lpstr>IRAK</vt:lpstr>
      <vt:lpstr>IRÁN</vt:lpstr>
      <vt:lpstr>JAPÓN</vt:lpstr>
      <vt:lpstr>JORDANIA</vt:lpstr>
      <vt:lpstr>ListaUTC</vt:lpstr>
      <vt:lpstr>MARRUECOS</vt:lpstr>
      <vt:lpstr>MD</vt:lpstr>
      <vt:lpstr>MÉXICO</vt:lpstr>
      <vt:lpstr>NORUEGA</vt:lpstr>
      <vt:lpstr>NUEVA_ZELANDA</vt:lpstr>
      <vt:lpstr>PAÍSES_BAJOS</vt:lpstr>
      <vt:lpstr>PANAMÁ</vt:lpstr>
      <vt:lpstr>PARAGUAY</vt:lpstr>
      <vt:lpstr>Perdedor101</vt:lpstr>
      <vt:lpstr>Perdedor102</vt:lpstr>
      <vt:lpstr>PORTUGAL</vt:lpstr>
      <vt:lpstr>PrimeroA</vt:lpstr>
      <vt:lpstr>PrimeroB</vt:lpstr>
      <vt:lpstr>PrimeroC</vt:lpstr>
      <vt:lpstr>PrimeroD</vt:lpstr>
      <vt:lpstr>PrimeroE</vt:lpstr>
      <vt:lpstr>PrimeroF</vt:lpstr>
      <vt:lpstr>PrimeroG</vt:lpstr>
      <vt:lpstr>PrimeroH</vt:lpstr>
      <vt:lpstr>PrimeroI</vt:lpstr>
      <vt:lpstr>PrimeroJ</vt:lpstr>
      <vt:lpstr>PrimeroK</vt:lpstr>
      <vt:lpstr>PrimeroL</vt:lpstr>
      <vt:lpstr>provi</vt:lpstr>
      <vt:lpstr>REP._CHECA</vt:lpstr>
      <vt:lpstr>REP._del_CONGO</vt:lpstr>
      <vt:lpstr>SD</vt:lpstr>
      <vt:lpstr>SegundoA</vt:lpstr>
      <vt:lpstr>SegundoB</vt:lpstr>
      <vt:lpstr>SegundoC</vt:lpstr>
      <vt:lpstr>SegundoD</vt:lpstr>
      <vt:lpstr>SegundoE</vt:lpstr>
      <vt:lpstr>SegundoF</vt:lpstr>
      <vt:lpstr>SegundoG</vt:lpstr>
      <vt:lpstr>SegundoH</vt:lpstr>
      <vt:lpstr>SegundoI</vt:lpstr>
      <vt:lpstr>SegundoJ</vt:lpstr>
      <vt:lpstr>SegundoK</vt:lpstr>
      <vt:lpstr>SegundoL</vt:lpstr>
      <vt:lpstr>SENEGAL</vt:lpstr>
      <vt:lpstr>SUDÁFRICA</vt:lpstr>
      <vt:lpstr>SUECIA</vt:lpstr>
      <vt:lpstr>SUIZA</vt:lpstr>
      <vt:lpstr>TablaUTC</vt:lpstr>
      <vt:lpstr>tcp</vt:lpstr>
      <vt:lpstr>TerceroA</vt:lpstr>
      <vt:lpstr>TerceroB</vt:lpstr>
      <vt:lpstr>TerceroC</vt:lpstr>
      <vt:lpstr>TerceroD</vt:lpstr>
      <vt:lpstr>TerceroE</vt:lpstr>
      <vt:lpstr>TerceroF</vt:lpstr>
      <vt:lpstr>TerceroG</vt:lpstr>
      <vt:lpstr>TerceroH</vt:lpstr>
      <vt:lpstr>TerceroI</vt:lpstr>
      <vt:lpstr>TerceroJ</vt:lpstr>
      <vt:lpstr>TerceroK</vt:lpstr>
      <vt:lpstr>TerceroL</vt:lpstr>
      <vt:lpstr>Terceros</vt:lpstr>
      <vt:lpstr>TÚNEZ</vt:lpstr>
      <vt:lpstr>TURQUÍA</vt:lpstr>
      <vt:lpstr>URUGUAY</vt:lpstr>
      <vt:lpstr>UTCElegido</vt:lpstr>
      <vt:lpstr>UZBEKISTÁN</vt:lpstr>
      <vt:lpstr>vacía</vt:lpstr>
      <vt:lpstr>vcp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Clases Excel</dc:creator>
  <cp:lastModifiedBy>Ariel Martínez</cp:lastModifiedBy>
  <dcterms:created xsi:type="dcterms:W3CDTF">2017-12-04T20:32:11Z</dcterms:created>
  <dcterms:modified xsi:type="dcterms:W3CDTF">2026-07-19T23:45:20Z</dcterms:modified>
</cp:coreProperties>
</file>